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C8E" lockStructure="1"/>
  <bookViews>
    <workbookView xWindow="240" yWindow="60" windowWidth="20115" windowHeight="8010"/>
  </bookViews>
  <sheets>
    <sheet name="Balance Sheet" sheetId="1" r:id="rId1"/>
    <sheet name="Income Statement" sheetId="2" r:id="rId2"/>
    <sheet name="Ratio Analysis" sheetId="3" r:id="rId3"/>
    <sheet name="Price Multiples" sheetId="4" r:id="rId4"/>
    <sheet name="Common Size Analysis - BS" sheetId="5" r:id="rId5"/>
    <sheet name="Index Analysis - BS" sheetId="6" r:id="rId6"/>
    <sheet name="Common Size Analysis - IS" sheetId="7" r:id="rId7"/>
    <sheet name="Index Analysis - IS" sheetId="8" r:id="rId8"/>
    <sheet name="Stock Beta" sheetId="9" r:id="rId9"/>
    <sheet name="Annual Return on Market - Rm" sheetId="10" r:id="rId10"/>
    <sheet name="Expansion Project Valuation" sheetId="11" r:id="rId11"/>
    <sheet name="Amortization Schedule" sheetId="13" r:id="rId12"/>
    <sheet name="Target Price" sheetId="14" r:id="rId13"/>
    <sheet name="AFN" sheetId="17" r:id="rId14"/>
    <sheet name="Sheet1" sheetId="18" r:id="rId15"/>
  </sheets>
  <calcPr calcId="145621"/>
</workbook>
</file>

<file path=xl/calcChain.xml><?xml version="1.0" encoding="utf-8"?>
<calcChain xmlns="http://schemas.openxmlformats.org/spreadsheetml/2006/main">
  <c r="B4" i="17" l="1"/>
  <c r="B15" i="17" s="1"/>
  <c r="B10" i="17"/>
  <c r="B11" i="17"/>
  <c r="I27" i="14"/>
  <c r="I21" i="14"/>
  <c r="I20" i="14"/>
  <c r="I17" i="14"/>
  <c r="B4" i="7"/>
  <c r="C4" i="7"/>
  <c r="D4" i="7"/>
  <c r="E4" i="7"/>
  <c r="F4" i="7"/>
  <c r="B5" i="7"/>
  <c r="B11" i="8"/>
  <c r="B5" i="8"/>
  <c r="B4" i="8"/>
  <c r="F44" i="6"/>
  <c r="E44" i="6"/>
  <c r="D44" i="6"/>
  <c r="C44" i="6"/>
  <c r="B44" i="6"/>
  <c r="F38" i="6"/>
  <c r="F39" i="6" s="1"/>
  <c r="F45" i="6" s="1"/>
  <c r="E38" i="6"/>
  <c r="D38" i="6"/>
  <c r="C38" i="6"/>
  <c r="B38" i="6"/>
  <c r="F33" i="6"/>
  <c r="E33" i="6"/>
  <c r="D33" i="6"/>
  <c r="C33" i="6"/>
  <c r="B33" i="6"/>
  <c r="F13" i="6"/>
  <c r="F24" i="6" s="1"/>
  <c r="E13" i="6"/>
  <c r="E24" i="6" s="1"/>
  <c r="D13" i="6"/>
  <c r="D24" i="6" s="1"/>
  <c r="C13" i="6"/>
  <c r="C24" i="6" s="1"/>
  <c r="B13" i="6"/>
  <c r="B24" i="6" s="1"/>
  <c r="B38" i="5"/>
  <c r="B33" i="5"/>
  <c r="C44" i="5"/>
  <c r="D44" i="5"/>
  <c r="E44" i="5"/>
  <c r="F44" i="5"/>
  <c r="B44" i="5"/>
  <c r="C38" i="5"/>
  <c r="D38" i="5"/>
  <c r="C33" i="5"/>
  <c r="D33" i="5"/>
  <c r="D39" i="5" s="1"/>
  <c r="D45" i="5" s="1"/>
  <c r="C13" i="5"/>
  <c r="D13" i="5"/>
  <c r="D39" i="6" l="1"/>
  <c r="D45" i="6" s="1"/>
  <c r="E39" i="6"/>
  <c r="E45" i="6" s="1"/>
  <c r="B39" i="6"/>
  <c r="B45" i="6" s="1"/>
  <c r="C39" i="6"/>
  <c r="C45" i="6" s="1"/>
  <c r="C11" i="7"/>
  <c r="C13" i="7" s="1"/>
  <c r="C15" i="7" s="1"/>
  <c r="C17" i="7" s="1"/>
  <c r="B11" i="7"/>
  <c r="B13" i="7" s="1"/>
  <c r="B15" i="7" s="1"/>
  <c r="B17" i="7" s="1"/>
  <c r="B13" i="8"/>
  <c r="B15" i="8" s="1"/>
  <c r="B17" i="8" s="1"/>
  <c r="E38" i="5"/>
  <c r="F38" i="5"/>
  <c r="C39" i="5"/>
  <c r="C45" i="5" s="1"/>
  <c r="F33" i="5"/>
  <c r="E33" i="5"/>
  <c r="D24" i="5"/>
  <c r="C24" i="5"/>
  <c r="E13" i="5"/>
  <c r="F13" i="5"/>
  <c r="B39" i="5"/>
  <c r="B45" i="5" s="1"/>
  <c r="B13" i="5"/>
  <c r="B24" i="5" s="1"/>
  <c r="B7" i="17"/>
  <c r="L21" i="14"/>
  <c r="L20" i="14"/>
  <c r="L13" i="14"/>
  <c r="L17" i="14"/>
  <c r="L27" i="14"/>
  <c r="F6" i="14"/>
  <c r="F19" i="14"/>
  <c r="C27" i="14"/>
  <c r="I14" i="14"/>
  <c r="G105" i="13"/>
  <c r="G106" i="13" s="1"/>
  <c r="G107" i="13" s="1"/>
  <c r="G108" i="13" s="1"/>
  <c r="G109" i="13" s="1"/>
  <c r="G110" i="13" s="1"/>
  <c r="G111" i="13" s="1"/>
  <c r="G112" i="13" s="1"/>
  <c r="G113" i="13" s="1"/>
  <c r="G114" i="13" s="1"/>
  <c r="G115" i="13" s="1"/>
  <c r="G116" i="13" s="1"/>
  <c r="G117" i="13" s="1"/>
  <c r="G118" i="13" s="1"/>
  <c r="G119" i="13" s="1"/>
  <c r="G120" i="13" s="1"/>
  <c r="G121" i="13" s="1"/>
  <c r="G122" i="13" s="1"/>
  <c r="G123" i="13" s="1"/>
  <c r="G104" i="13"/>
  <c r="L45" i="14"/>
  <c r="D11" i="7" l="1"/>
  <c r="D13" i="7" s="1"/>
  <c r="D15" i="7" s="1"/>
  <c r="D17" i="7" s="1"/>
  <c r="C11" i="8"/>
  <c r="C4" i="8"/>
  <c r="E39" i="5"/>
  <c r="E45" i="5" s="1"/>
  <c r="F39" i="5"/>
  <c r="F45" i="5" s="1"/>
  <c r="F24" i="5"/>
  <c r="E24" i="5"/>
  <c r="I22" i="14"/>
  <c r="L14" i="14"/>
  <c r="L22" i="14" s="1"/>
  <c r="B14" i="14"/>
  <c r="B12" i="14"/>
  <c r="I30" i="14"/>
  <c r="C13" i="8" l="1"/>
  <c r="C15" i="8" s="1"/>
  <c r="C17" i="8" s="1"/>
  <c r="F11" i="7"/>
  <c r="F13" i="7" s="1"/>
  <c r="F15" i="7" s="1"/>
  <c r="F17" i="7" s="1"/>
  <c r="E11" i="7"/>
  <c r="E13" i="7" s="1"/>
  <c r="E15" i="7" s="1"/>
  <c r="E17" i="7" s="1"/>
  <c r="D11" i="8"/>
  <c r="D4" i="8"/>
  <c r="B22" i="14"/>
  <c r="B21" i="14"/>
  <c r="B19" i="14"/>
  <c r="B18" i="14"/>
  <c r="B20" i="14"/>
  <c r="B2" i="14"/>
  <c r="F13" i="14"/>
  <c r="O6" i="14"/>
  <c r="E4" i="8" l="1"/>
  <c r="F4" i="8"/>
  <c r="E11" i="8"/>
  <c r="F11" i="8"/>
  <c r="D13" i="8"/>
  <c r="D15" i="8" s="1"/>
  <c r="D17" i="8" s="1"/>
  <c r="B8" i="17"/>
  <c r="B2" i="17"/>
  <c r="B5" i="17" s="1"/>
  <c r="B17" i="17" s="1"/>
  <c r="F13" i="8" l="1"/>
  <c r="F15" i="8" s="1"/>
  <c r="F17" i="8" s="1"/>
  <c r="E13" i="8"/>
  <c r="E15" i="8" s="1"/>
  <c r="E17" i="8" s="1"/>
  <c r="B14" i="17"/>
  <c r="B13" i="17"/>
  <c r="B14" i="3"/>
  <c r="B16" i="3" s="1"/>
  <c r="B19" i="4"/>
  <c r="C4" i="10"/>
  <c r="C5" i="10"/>
  <c r="C6" i="10"/>
  <c r="C7" i="10"/>
  <c r="C8" i="10"/>
  <c r="C9" i="10"/>
  <c r="C10" i="10"/>
  <c r="C11" i="10"/>
  <c r="C3" i="10"/>
  <c r="E4" i="9"/>
  <c r="E5" i="9"/>
  <c r="E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D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45" i="9"/>
  <c r="D46" i="9"/>
  <c r="D47" i="9"/>
  <c r="D48" i="9"/>
  <c r="D49" i="9"/>
  <c r="D50" i="9"/>
  <c r="D51" i="9"/>
  <c r="D52" i="9"/>
  <c r="D53" i="9"/>
  <c r="D54" i="9"/>
  <c r="D55" i="9"/>
  <c r="D56" i="9"/>
  <c r="D57" i="9"/>
  <c r="D58" i="9"/>
  <c r="D59" i="9"/>
  <c r="D60" i="9"/>
  <c r="D61" i="9"/>
  <c r="D3" i="9"/>
  <c r="B39" i="4"/>
  <c r="B59" i="3"/>
  <c r="B57" i="3"/>
  <c r="B60" i="3" l="1"/>
  <c r="B67" i="3" s="1"/>
  <c r="B68" i="3" s="1"/>
  <c r="F2" i="14"/>
  <c r="B7" i="14"/>
  <c r="B59" i="4" l="1"/>
  <c r="C13" i="10"/>
  <c r="E3" i="9"/>
  <c r="B52" i="4"/>
  <c r="B44" i="4"/>
  <c r="B57" i="4" s="1"/>
  <c r="L3" i="8"/>
  <c r="L4" i="8"/>
  <c r="L6" i="8"/>
  <c r="L7" i="8"/>
  <c r="L8" i="8"/>
  <c r="L9" i="8"/>
  <c r="L10" i="8"/>
  <c r="L11" i="8"/>
  <c r="L12" i="8"/>
  <c r="L13" i="8"/>
  <c r="L14" i="8"/>
  <c r="L15" i="8"/>
  <c r="L16" i="8"/>
  <c r="L17" i="8"/>
  <c r="K3" i="8"/>
  <c r="K4" i="8"/>
  <c r="K6" i="8"/>
  <c r="K7" i="8"/>
  <c r="K8" i="8"/>
  <c r="K9" i="8"/>
  <c r="K10" i="8"/>
  <c r="K11" i="8"/>
  <c r="K12" i="8"/>
  <c r="K13" i="8"/>
  <c r="K14" i="8"/>
  <c r="K15" i="8"/>
  <c r="K16" i="8"/>
  <c r="K17" i="8"/>
  <c r="J3" i="8"/>
  <c r="J4" i="8"/>
  <c r="J6" i="8"/>
  <c r="J7" i="8"/>
  <c r="J8" i="8"/>
  <c r="J9" i="8"/>
  <c r="J10" i="8"/>
  <c r="J11" i="8"/>
  <c r="J12" i="8"/>
  <c r="J13" i="8"/>
  <c r="J14" i="8"/>
  <c r="J15" i="8"/>
  <c r="J16" i="8"/>
  <c r="J17" i="8"/>
  <c r="I3" i="8"/>
  <c r="I4" i="8"/>
  <c r="I6" i="8"/>
  <c r="I7" i="8"/>
  <c r="I8" i="8"/>
  <c r="I9" i="8"/>
  <c r="I10" i="8"/>
  <c r="I11" i="8"/>
  <c r="I12" i="8"/>
  <c r="I13" i="8"/>
  <c r="I14" i="8"/>
  <c r="I15" i="8"/>
  <c r="I16" i="8"/>
  <c r="I17" i="8"/>
  <c r="L2" i="8"/>
  <c r="K2" i="8"/>
  <c r="J2" i="8"/>
  <c r="I2" i="8"/>
  <c r="H3" i="8"/>
  <c r="H4" i="8"/>
  <c r="H6" i="8"/>
  <c r="H7" i="8"/>
  <c r="H8" i="8"/>
  <c r="H9" i="8"/>
  <c r="H10" i="8"/>
  <c r="H11" i="8"/>
  <c r="H12" i="8"/>
  <c r="H13" i="8"/>
  <c r="H14" i="8"/>
  <c r="H15" i="8"/>
  <c r="H16" i="8"/>
  <c r="H17" i="8"/>
  <c r="H2" i="8"/>
  <c r="L3" i="7"/>
  <c r="L4" i="7"/>
  <c r="L6" i="7"/>
  <c r="L7" i="7"/>
  <c r="L8" i="7"/>
  <c r="L9" i="7"/>
  <c r="L10" i="7"/>
  <c r="L11" i="7"/>
  <c r="L12" i="7"/>
  <c r="L13" i="7"/>
  <c r="L14" i="7"/>
  <c r="L15" i="7"/>
  <c r="L16" i="7"/>
  <c r="L17" i="7"/>
  <c r="K3" i="7"/>
  <c r="K4" i="7"/>
  <c r="K6" i="7"/>
  <c r="K7" i="7"/>
  <c r="K8" i="7"/>
  <c r="K9" i="7"/>
  <c r="K10" i="7"/>
  <c r="K11" i="7"/>
  <c r="K12" i="7"/>
  <c r="K13" i="7"/>
  <c r="K14" i="7"/>
  <c r="K15" i="7"/>
  <c r="K16" i="7"/>
  <c r="K17" i="7"/>
  <c r="J3" i="7"/>
  <c r="J4" i="7"/>
  <c r="J6" i="7"/>
  <c r="J7" i="7"/>
  <c r="J8" i="7"/>
  <c r="J9" i="7"/>
  <c r="J10" i="7"/>
  <c r="J11" i="7"/>
  <c r="J12" i="7"/>
  <c r="J13" i="7"/>
  <c r="J14" i="7"/>
  <c r="J15" i="7"/>
  <c r="J16" i="7"/>
  <c r="J17" i="7"/>
  <c r="I3" i="7"/>
  <c r="I4" i="7"/>
  <c r="I6" i="7"/>
  <c r="I7" i="7"/>
  <c r="I8" i="7"/>
  <c r="I9" i="7"/>
  <c r="I10" i="7"/>
  <c r="I11" i="7"/>
  <c r="I12" i="7"/>
  <c r="I13" i="7"/>
  <c r="I14" i="7"/>
  <c r="I15" i="7"/>
  <c r="I16" i="7"/>
  <c r="I17" i="7"/>
  <c r="L2" i="7"/>
  <c r="K2" i="7"/>
  <c r="J2" i="7"/>
  <c r="I2" i="7"/>
  <c r="H2" i="7"/>
  <c r="H3" i="7"/>
  <c r="H4" i="7"/>
  <c r="H6" i="7"/>
  <c r="H7" i="7"/>
  <c r="H8" i="7"/>
  <c r="H9" i="7"/>
  <c r="H10" i="7"/>
  <c r="H11" i="7"/>
  <c r="H12" i="7"/>
  <c r="H13" i="7"/>
  <c r="H14" i="7"/>
  <c r="H15" i="7"/>
  <c r="H16" i="7"/>
  <c r="H17" i="7"/>
  <c r="L5" i="6"/>
  <c r="L6" i="6"/>
  <c r="L7" i="6"/>
  <c r="L8" i="6"/>
  <c r="L9" i="6"/>
  <c r="L10" i="6"/>
  <c r="L11" i="6"/>
  <c r="L12" i="6"/>
  <c r="L13" i="6"/>
  <c r="L15" i="6"/>
  <c r="L16" i="6"/>
  <c r="L17" i="6"/>
  <c r="L18" i="6"/>
  <c r="L19" i="6"/>
  <c r="L20" i="6"/>
  <c r="L21" i="6"/>
  <c r="L22" i="6"/>
  <c r="L23" i="6"/>
  <c r="L24" i="6"/>
  <c r="L27" i="6"/>
  <c r="L28" i="6"/>
  <c r="L29" i="6"/>
  <c r="L30" i="6"/>
  <c r="L31" i="6"/>
  <c r="L32" i="6"/>
  <c r="L33" i="6"/>
  <c r="L35" i="6"/>
  <c r="L36" i="6"/>
  <c r="L37" i="6"/>
  <c r="L38" i="6"/>
  <c r="L39" i="6"/>
  <c r="L41" i="6"/>
  <c r="L42" i="6"/>
  <c r="L43" i="6"/>
  <c r="L44" i="6"/>
  <c r="L45" i="6"/>
  <c r="K5" i="6"/>
  <c r="K6" i="6"/>
  <c r="K7" i="6"/>
  <c r="K8" i="6"/>
  <c r="K9" i="6"/>
  <c r="K10" i="6"/>
  <c r="K11" i="6"/>
  <c r="K12" i="6"/>
  <c r="K13" i="6"/>
  <c r="K15" i="6"/>
  <c r="K16" i="6"/>
  <c r="K17" i="6"/>
  <c r="K18" i="6"/>
  <c r="K19" i="6"/>
  <c r="K20" i="6"/>
  <c r="K21" i="6"/>
  <c r="K22" i="6"/>
  <c r="K23" i="6"/>
  <c r="K24" i="6"/>
  <c r="K27" i="6"/>
  <c r="K28" i="6"/>
  <c r="K29" i="6"/>
  <c r="K30" i="6"/>
  <c r="K31" i="6"/>
  <c r="K32" i="6"/>
  <c r="K33" i="6"/>
  <c r="K35" i="6"/>
  <c r="K36" i="6"/>
  <c r="K37" i="6"/>
  <c r="K38" i="6"/>
  <c r="K39" i="6"/>
  <c r="K41" i="6"/>
  <c r="K42" i="6"/>
  <c r="K43" i="6"/>
  <c r="K44" i="6"/>
  <c r="K45" i="6"/>
  <c r="J5" i="6"/>
  <c r="J6" i="6"/>
  <c r="J7" i="6"/>
  <c r="J8" i="6"/>
  <c r="J9" i="6"/>
  <c r="J10" i="6"/>
  <c r="J11" i="6"/>
  <c r="J12" i="6"/>
  <c r="J13" i="6"/>
  <c r="J15" i="6"/>
  <c r="J16" i="6"/>
  <c r="J17" i="6"/>
  <c r="J18" i="6"/>
  <c r="J19" i="6"/>
  <c r="J20" i="6"/>
  <c r="J21" i="6"/>
  <c r="J22" i="6"/>
  <c r="J23" i="6"/>
  <c r="J24" i="6"/>
  <c r="J27" i="6"/>
  <c r="J28" i="6"/>
  <c r="J29" i="6"/>
  <c r="J30" i="6"/>
  <c r="J31" i="6"/>
  <c r="J32" i="6"/>
  <c r="J33" i="6"/>
  <c r="J35" i="6"/>
  <c r="J36" i="6"/>
  <c r="J37" i="6"/>
  <c r="J38" i="6"/>
  <c r="J39" i="6"/>
  <c r="J41" i="6"/>
  <c r="J42" i="6"/>
  <c r="J43" i="6"/>
  <c r="J44" i="6"/>
  <c r="J45" i="6"/>
  <c r="K4" i="6"/>
  <c r="L4" i="6"/>
  <c r="J4" i="6"/>
  <c r="I35" i="6"/>
  <c r="I5" i="6"/>
  <c r="I6" i="6"/>
  <c r="I7" i="6"/>
  <c r="I8" i="6"/>
  <c r="I9" i="6"/>
  <c r="I10" i="6"/>
  <c r="I11" i="6"/>
  <c r="I12" i="6"/>
  <c r="I13" i="6"/>
  <c r="I15" i="6"/>
  <c r="I16" i="6"/>
  <c r="I17" i="6"/>
  <c r="I18" i="6"/>
  <c r="I19" i="6"/>
  <c r="I20" i="6"/>
  <c r="I21" i="6"/>
  <c r="I22" i="6"/>
  <c r="I23" i="6"/>
  <c r="I24" i="6"/>
  <c r="I27" i="6"/>
  <c r="I28" i="6"/>
  <c r="I29" i="6"/>
  <c r="I30" i="6"/>
  <c r="I31" i="6"/>
  <c r="I32" i="6"/>
  <c r="I33" i="6"/>
  <c r="I36" i="6"/>
  <c r="I37" i="6"/>
  <c r="I38" i="6"/>
  <c r="I39" i="6"/>
  <c r="I41" i="6"/>
  <c r="I42" i="6"/>
  <c r="I43" i="6"/>
  <c r="I44" i="6"/>
  <c r="I45" i="6"/>
  <c r="I4" i="6"/>
  <c r="H5" i="6"/>
  <c r="H6" i="6"/>
  <c r="H7" i="6"/>
  <c r="H8" i="6"/>
  <c r="H9" i="6"/>
  <c r="H10" i="6"/>
  <c r="H11" i="6"/>
  <c r="H12" i="6"/>
  <c r="H13" i="6"/>
  <c r="H15" i="6"/>
  <c r="H16" i="6"/>
  <c r="H17" i="6"/>
  <c r="H18" i="6"/>
  <c r="H19" i="6"/>
  <c r="H20" i="6"/>
  <c r="H21" i="6"/>
  <c r="H22" i="6"/>
  <c r="H23" i="6"/>
  <c r="H24" i="6"/>
  <c r="H27" i="6"/>
  <c r="H28" i="6"/>
  <c r="H29" i="6"/>
  <c r="H30" i="6"/>
  <c r="H31" i="6"/>
  <c r="H32" i="6"/>
  <c r="H33" i="6"/>
  <c r="H35" i="6"/>
  <c r="H36" i="6"/>
  <c r="H37" i="6"/>
  <c r="H38" i="6"/>
  <c r="H39" i="6"/>
  <c r="H41" i="6"/>
  <c r="H42" i="6"/>
  <c r="H43" i="6"/>
  <c r="H44" i="6"/>
  <c r="H45" i="6"/>
  <c r="H4" i="6"/>
  <c r="I5" i="5"/>
  <c r="I6" i="5"/>
  <c r="I7" i="5"/>
  <c r="I8" i="5"/>
  <c r="I9" i="5"/>
  <c r="I10" i="5"/>
  <c r="I11" i="5"/>
  <c r="I12" i="5"/>
  <c r="I13" i="5"/>
  <c r="I15" i="5"/>
  <c r="I16" i="5"/>
  <c r="I17" i="5"/>
  <c r="I18" i="5"/>
  <c r="I19" i="5"/>
  <c r="I20" i="5"/>
  <c r="I21" i="5"/>
  <c r="I22" i="5"/>
  <c r="I23" i="5"/>
  <c r="I24" i="5"/>
  <c r="I27" i="5"/>
  <c r="I28" i="5"/>
  <c r="I29" i="5"/>
  <c r="I30" i="5"/>
  <c r="I31" i="5"/>
  <c r="I32" i="5"/>
  <c r="I33" i="5"/>
  <c r="I35" i="5"/>
  <c r="I36" i="5"/>
  <c r="I37" i="5"/>
  <c r="I38" i="5"/>
  <c r="I39" i="5"/>
  <c r="I41" i="5"/>
  <c r="I42" i="5"/>
  <c r="I43" i="5"/>
  <c r="I44" i="5"/>
  <c r="I45" i="5"/>
  <c r="L5" i="5"/>
  <c r="L6" i="5"/>
  <c r="L7" i="5"/>
  <c r="L8" i="5"/>
  <c r="L9" i="5"/>
  <c r="L10" i="5"/>
  <c r="L11" i="5"/>
  <c r="L12" i="5"/>
  <c r="L13" i="5"/>
  <c r="L15" i="5"/>
  <c r="L16" i="5"/>
  <c r="L17" i="5"/>
  <c r="L18" i="5"/>
  <c r="L19" i="5"/>
  <c r="L20" i="5"/>
  <c r="L21" i="5"/>
  <c r="L22" i="5"/>
  <c r="L23" i="5"/>
  <c r="L24" i="5"/>
  <c r="L27" i="5"/>
  <c r="L28" i="5"/>
  <c r="L29" i="5"/>
  <c r="L30" i="5"/>
  <c r="L31" i="5"/>
  <c r="L32" i="5"/>
  <c r="L33" i="5"/>
  <c r="L35" i="5"/>
  <c r="L36" i="5"/>
  <c r="L37" i="5"/>
  <c r="L38" i="5"/>
  <c r="L39" i="5"/>
  <c r="L41" i="5"/>
  <c r="L42" i="5"/>
  <c r="L43" i="5"/>
  <c r="L44" i="5"/>
  <c r="L45" i="5"/>
  <c r="K5" i="5"/>
  <c r="K6" i="5"/>
  <c r="K7" i="5"/>
  <c r="K8" i="5"/>
  <c r="K9" i="5"/>
  <c r="K10" i="5"/>
  <c r="K11" i="5"/>
  <c r="K12" i="5"/>
  <c r="K13" i="5"/>
  <c r="K15" i="5"/>
  <c r="K16" i="5"/>
  <c r="K17" i="5"/>
  <c r="K18" i="5"/>
  <c r="K19" i="5"/>
  <c r="K20" i="5"/>
  <c r="K21" i="5"/>
  <c r="K22" i="5"/>
  <c r="K23" i="5"/>
  <c r="K24" i="5"/>
  <c r="K27" i="5"/>
  <c r="K28" i="5"/>
  <c r="K29" i="5"/>
  <c r="K30" i="5"/>
  <c r="K31" i="5"/>
  <c r="K32" i="5"/>
  <c r="K33" i="5"/>
  <c r="K35" i="5"/>
  <c r="K36" i="5"/>
  <c r="K37" i="5"/>
  <c r="K38" i="5"/>
  <c r="K39" i="5"/>
  <c r="K41" i="5"/>
  <c r="K42" i="5"/>
  <c r="K43" i="5"/>
  <c r="K44" i="5"/>
  <c r="K45" i="5"/>
  <c r="J5" i="5"/>
  <c r="J6" i="5"/>
  <c r="J7" i="5"/>
  <c r="J8" i="5"/>
  <c r="J9" i="5"/>
  <c r="J10" i="5"/>
  <c r="J11" i="5"/>
  <c r="J12" i="5"/>
  <c r="J13" i="5"/>
  <c r="J15" i="5"/>
  <c r="J16" i="5"/>
  <c r="J17" i="5"/>
  <c r="J18" i="5"/>
  <c r="J19" i="5"/>
  <c r="J20" i="5"/>
  <c r="J21" i="5"/>
  <c r="J22" i="5"/>
  <c r="J23" i="5"/>
  <c r="J24" i="5"/>
  <c r="J27" i="5"/>
  <c r="J28" i="5"/>
  <c r="J29" i="5"/>
  <c r="J30" i="5"/>
  <c r="J31" i="5"/>
  <c r="J32" i="5"/>
  <c r="J33" i="5"/>
  <c r="J35" i="5"/>
  <c r="J36" i="5"/>
  <c r="J37" i="5"/>
  <c r="J38" i="5"/>
  <c r="J39" i="5"/>
  <c r="J41" i="5"/>
  <c r="J42" i="5"/>
  <c r="J43" i="5"/>
  <c r="J44" i="5"/>
  <c r="J45" i="5"/>
  <c r="L4" i="5"/>
  <c r="K4" i="5"/>
  <c r="J4" i="5"/>
  <c r="I4" i="5"/>
  <c r="H5" i="5"/>
  <c r="H6" i="5"/>
  <c r="H7" i="5"/>
  <c r="H8" i="5"/>
  <c r="H9" i="5"/>
  <c r="H10" i="5"/>
  <c r="H11" i="5"/>
  <c r="H12" i="5"/>
  <c r="H13" i="5"/>
  <c r="H15" i="5"/>
  <c r="H16" i="5"/>
  <c r="H17" i="5"/>
  <c r="H18" i="5"/>
  <c r="H19" i="5"/>
  <c r="H20" i="5"/>
  <c r="H21" i="5"/>
  <c r="H22" i="5"/>
  <c r="H23" i="5"/>
  <c r="H24" i="5"/>
  <c r="H27" i="5"/>
  <c r="H28" i="5"/>
  <c r="H29" i="5"/>
  <c r="H30" i="5"/>
  <c r="H31" i="5"/>
  <c r="H32" i="5"/>
  <c r="H33" i="5"/>
  <c r="H35" i="5"/>
  <c r="H36" i="5"/>
  <c r="H37" i="5"/>
  <c r="H38" i="5"/>
  <c r="H39" i="5"/>
  <c r="H41" i="5"/>
  <c r="H42" i="5"/>
  <c r="H43" i="5"/>
  <c r="H44" i="5"/>
  <c r="H45" i="5"/>
  <c r="H4" i="5"/>
  <c r="B10" i="4"/>
  <c r="B4" i="4"/>
  <c r="B23" i="4" s="1"/>
  <c r="B29" i="4" s="1"/>
  <c r="B24" i="4"/>
  <c r="B30" i="4" s="1"/>
  <c r="B65" i="3"/>
  <c r="B66" i="3" s="1"/>
  <c r="B63" i="3"/>
  <c r="B64" i="3" s="1"/>
  <c r="B11" i="2"/>
  <c r="B34" i="3" s="1"/>
  <c r="B4" i="2"/>
  <c r="B44" i="1"/>
  <c r="B36" i="4" s="1"/>
  <c r="B38" i="1"/>
  <c r="B33" i="1"/>
  <c r="B23" i="1"/>
  <c r="B46" i="3" s="1"/>
  <c r="B13" i="1"/>
  <c r="B2" i="3" l="1"/>
  <c r="B3" i="3"/>
  <c r="I16" i="14"/>
  <c r="B41" i="3"/>
  <c r="B72" i="3"/>
  <c r="B71" i="3"/>
  <c r="F4" i="14"/>
  <c r="B65" i="9"/>
  <c r="B64" i="9"/>
  <c r="F3" i="14" s="1"/>
  <c r="B13" i="2"/>
  <c r="B33" i="3"/>
  <c r="B12" i="11"/>
  <c r="B39" i="1"/>
  <c r="B11" i="11"/>
  <c r="B24" i="1"/>
  <c r="B4" i="3"/>
  <c r="B5" i="3"/>
  <c r="I18" i="14" l="1"/>
  <c r="L16" i="14"/>
  <c r="L18" i="14" s="1"/>
  <c r="B11" i="3"/>
  <c r="I12" i="14"/>
  <c r="B17" i="3"/>
  <c r="B19" i="3" s="1"/>
  <c r="B7" i="4"/>
  <c r="B48" i="3"/>
  <c r="B40" i="3"/>
  <c r="B58" i="4"/>
  <c r="B60" i="4" s="1"/>
  <c r="I26" i="14"/>
  <c r="B35" i="4"/>
  <c r="F5" i="14"/>
  <c r="F7" i="14" s="1"/>
  <c r="B68" i="9"/>
  <c r="B38" i="4" s="1"/>
  <c r="B35" i="3"/>
  <c r="B19" i="11"/>
  <c r="C19" i="11" s="1"/>
  <c r="B15" i="2"/>
  <c r="B17" i="2" s="1"/>
  <c r="B9" i="4"/>
  <c r="B25" i="4" s="1"/>
  <c r="B31" i="4" s="1"/>
  <c r="B10" i="3"/>
  <c r="B13" i="11"/>
  <c r="B18" i="11" s="1"/>
  <c r="B8" i="4"/>
  <c r="B8" i="3"/>
  <c r="B45" i="1"/>
  <c r="B52" i="3"/>
  <c r="B9" i="3"/>
  <c r="B47" i="3"/>
  <c r="B39" i="3"/>
  <c r="B51" i="3"/>
  <c r="L12" i="14" l="1"/>
  <c r="L24" i="14" s="1"/>
  <c r="I24" i="14"/>
  <c r="I28" i="14"/>
  <c r="L26" i="14"/>
  <c r="L28" i="14" s="1"/>
  <c r="B21" i="3"/>
  <c r="B43" i="3"/>
  <c r="B24" i="3"/>
  <c r="B26" i="3" s="1"/>
  <c r="B28" i="3" s="1"/>
  <c r="B42" i="3"/>
  <c r="B22" i="4"/>
  <c r="B28" i="4" s="1"/>
  <c r="B40" i="4"/>
  <c r="K3" i="13"/>
  <c r="E3" i="13"/>
  <c r="D19" i="11"/>
  <c r="D18" i="11"/>
  <c r="B45" i="4"/>
  <c r="B20" i="11"/>
  <c r="C20" i="11" s="1"/>
  <c r="B62" i="4"/>
  <c r="B36" i="3"/>
  <c r="B53" i="3"/>
  <c r="B54" i="3" s="1"/>
  <c r="B50" i="4"/>
  <c r="B5" i="4"/>
  <c r="B18" i="4" s="1"/>
  <c r="B38" i="3"/>
  <c r="F14" i="14" s="1"/>
  <c r="B37" i="3"/>
  <c r="B41" i="4"/>
  <c r="I29" i="14" l="1"/>
  <c r="L29" i="14"/>
  <c r="L33" i="14" s="1"/>
  <c r="M33" i="14" s="1"/>
  <c r="B13" i="14"/>
  <c r="C20" i="14" s="1"/>
  <c r="B3" i="14"/>
  <c r="B30" i="3"/>
  <c r="L3" i="14"/>
  <c r="H126" i="13"/>
  <c r="I4" i="13"/>
  <c r="B51" i="4"/>
  <c r="B54" i="4" s="1"/>
  <c r="O3" i="14" s="1"/>
  <c r="O4" i="14" s="1"/>
  <c r="F15" i="14"/>
  <c r="B20" i="4"/>
  <c r="B21" i="4" s="1"/>
  <c r="F12" i="14"/>
  <c r="B47" i="4"/>
  <c r="O2" i="14"/>
  <c r="B21" i="11"/>
  <c r="D20" i="11"/>
  <c r="B16" i="13"/>
  <c r="B27" i="4"/>
  <c r="L2" i="14"/>
  <c r="I4" i="14"/>
  <c r="C4" i="13"/>
  <c r="C22" i="14" l="1"/>
  <c r="L34" i="14"/>
  <c r="M34" i="14" s="1"/>
  <c r="C18" i="14"/>
  <c r="C21" i="14"/>
  <c r="C19" i="14"/>
  <c r="L35" i="14"/>
  <c r="M35" i="14" s="1"/>
  <c r="L36" i="14"/>
  <c r="M36" i="14" s="1"/>
  <c r="L37" i="14"/>
  <c r="M37" i="14" s="1"/>
  <c r="B15" i="4"/>
  <c r="B16" i="4"/>
  <c r="D21" i="11"/>
  <c r="C21" i="11"/>
  <c r="C18" i="11"/>
  <c r="E18" i="11" s="1"/>
  <c r="B13" i="4"/>
  <c r="B14" i="4"/>
  <c r="L4" i="14"/>
  <c r="H26" i="13"/>
  <c r="H28" i="13"/>
  <c r="H102" i="13"/>
  <c r="H29" i="13"/>
  <c r="H58" i="13"/>
  <c r="H63" i="13"/>
  <c r="H85" i="13"/>
  <c r="H108" i="13"/>
  <c r="H111" i="13"/>
  <c r="H107" i="13"/>
  <c r="H51" i="13"/>
  <c r="H34" i="13"/>
  <c r="H49" i="13"/>
  <c r="H59" i="13"/>
  <c r="H88" i="13"/>
  <c r="H83" i="13"/>
  <c r="H55" i="13"/>
  <c r="H86" i="13"/>
  <c r="H22" i="13"/>
  <c r="H27" i="13"/>
  <c r="H64" i="13"/>
  <c r="H77" i="13"/>
  <c r="H116" i="13"/>
  <c r="H119" i="13"/>
  <c r="H115" i="13"/>
  <c r="H84" i="13"/>
  <c r="H18" i="13"/>
  <c r="H41" i="13"/>
  <c r="H19" i="13"/>
  <c r="H72" i="13"/>
  <c r="H35" i="13"/>
  <c r="H47" i="13"/>
  <c r="H78" i="13"/>
  <c r="H14" i="13"/>
  <c r="H98" i="13"/>
  <c r="H48" i="13"/>
  <c r="H69" i="13"/>
  <c r="H50" i="13"/>
  <c r="H15" i="13"/>
  <c r="H97" i="13"/>
  <c r="H105" i="13"/>
  <c r="H43" i="13"/>
  <c r="H73" i="13"/>
  <c r="H12" i="13"/>
  <c r="H11" i="13"/>
  <c r="H36" i="13"/>
  <c r="H113" i="13"/>
  <c r="H65" i="13"/>
  <c r="H71" i="13"/>
  <c r="H93" i="13"/>
  <c r="H91" i="13"/>
  <c r="H31" i="13"/>
  <c r="H67" i="13"/>
  <c r="H37" i="13"/>
  <c r="H90" i="13"/>
  <c r="H8" i="13"/>
  <c r="H122" i="13"/>
  <c r="H5" i="13"/>
  <c r="H80" i="13"/>
  <c r="H109" i="13"/>
  <c r="H104" i="13"/>
  <c r="H123" i="13"/>
  <c r="H99" i="13"/>
  <c r="H6" i="13"/>
  <c r="H33" i="13"/>
  <c r="H7" i="13"/>
  <c r="H56" i="13"/>
  <c r="H82" i="13"/>
  <c r="H39" i="13"/>
  <c r="H70" i="13"/>
  <c r="H9" i="13"/>
  <c r="H66" i="13"/>
  <c r="H32" i="13"/>
  <c r="H61" i="13"/>
  <c r="H110" i="13"/>
  <c r="H75" i="13"/>
  <c r="H17" i="13"/>
  <c r="H103" i="13"/>
  <c r="H44" i="13"/>
  <c r="H45" i="13"/>
  <c r="H13" i="13"/>
  <c r="H121" i="13"/>
  <c r="H4" i="13"/>
  <c r="H38" i="13"/>
  <c r="H106" i="13"/>
  <c r="H57" i="13"/>
  <c r="H30" i="13"/>
  <c r="H117" i="13"/>
  <c r="H112" i="13"/>
  <c r="H68" i="13"/>
  <c r="H89" i="13"/>
  <c r="H25" i="13"/>
  <c r="H74" i="13"/>
  <c r="H40" i="13"/>
  <c r="H16" i="13"/>
  <c r="H23" i="13"/>
  <c r="H62" i="13"/>
  <c r="H76" i="13"/>
  <c r="H42" i="13"/>
  <c r="H95" i="13"/>
  <c r="H53" i="13"/>
  <c r="H120" i="13"/>
  <c r="H100" i="13"/>
  <c r="H81" i="13"/>
  <c r="H24" i="13"/>
  <c r="H54" i="13"/>
  <c r="H10" i="13"/>
  <c r="H118" i="13"/>
  <c r="H60" i="13"/>
  <c r="H92" i="13"/>
  <c r="H87" i="13"/>
  <c r="H46" i="13"/>
  <c r="H101" i="13"/>
  <c r="H21" i="13"/>
  <c r="H52" i="13"/>
  <c r="H79" i="13"/>
  <c r="H96" i="13"/>
  <c r="H114" i="13"/>
  <c r="H20" i="13"/>
  <c r="H94" i="13"/>
  <c r="F18" i="14"/>
  <c r="F20" i="14" s="1"/>
  <c r="B22" i="11"/>
  <c r="C22" i="11" s="1"/>
  <c r="B10" i="13"/>
  <c r="B11" i="13"/>
  <c r="B12" i="13"/>
  <c r="B13" i="13"/>
  <c r="B4" i="13"/>
  <c r="D4" i="13" s="1"/>
  <c r="E4" i="13" s="1"/>
  <c r="B5" i="13"/>
  <c r="B6" i="13"/>
  <c r="B7" i="13"/>
  <c r="B8" i="13"/>
  <c r="B9" i="13"/>
  <c r="C23" i="14" l="1"/>
  <c r="M38" i="14"/>
  <c r="L41" i="14"/>
  <c r="L42" i="14" s="1"/>
  <c r="M42" i="14" s="1"/>
  <c r="M43" i="14" s="1"/>
  <c r="L47" i="14" s="1"/>
  <c r="E19" i="11"/>
  <c r="B35" i="11"/>
  <c r="E20" i="11"/>
  <c r="B4" i="14"/>
  <c r="B6" i="14" s="1"/>
  <c r="B9" i="14" s="1"/>
  <c r="I32" i="14"/>
  <c r="I34" i="14" s="1"/>
  <c r="O5" i="14"/>
  <c r="O7" i="14" s="1"/>
  <c r="B15" i="14"/>
  <c r="B24" i="14" s="1"/>
  <c r="B25" i="14" s="1"/>
  <c r="C25" i="14" s="1"/>
  <c r="H124" i="13"/>
  <c r="J4" i="13"/>
  <c r="E21" i="11"/>
  <c r="B23" i="11"/>
  <c r="D22" i="11"/>
  <c r="B14" i="13"/>
  <c r="C5" i="13"/>
  <c r="D5" i="13" s="1"/>
  <c r="E5" i="13" s="1"/>
  <c r="C26" i="14" l="1"/>
  <c r="C28" i="14" s="1"/>
  <c r="D23" i="11"/>
  <c r="C23" i="11"/>
  <c r="E23" i="11" s="1"/>
  <c r="K4" i="13"/>
  <c r="I5" i="13" s="1"/>
  <c r="J5" i="13" s="1"/>
  <c r="K5" i="13" s="1"/>
  <c r="I6" i="13" s="1"/>
  <c r="E22" i="11"/>
  <c r="B24" i="11"/>
  <c r="C6" i="13"/>
  <c r="D6" i="13" s="1"/>
  <c r="E6" i="13" s="1"/>
  <c r="C7" i="13" s="1"/>
  <c r="D7" i="13" s="1"/>
  <c r="E7" i="13" s="1"/>
  <c r="C8" i="13" s="1"/>
  <c r="D8" i="13" s="1"/>
  <c r="D24" i="11" l="1"/>
  <c r="C24" i="11"/>
  <c r="B25" i="11"/>
  <c r="C25" i="11" s="1"/>
  <c r="E8" i="13"/>
  <c r="C9" i="13" s="1"/>
  <c r="D14" i="13"/>
  <c r="C14" i="13"/>
  <c r="J6" i="13" l="1"/>
  <c r="E25" i="11"/>
  <c r="D25" i="11"/>
  <c r="B26" i="11"/>
  <c r="C26" i="11" s="1"/>
  <c r="E24" i="11"/>
  <c r="D9" i="13"/>
  <c r="E9" i="13" s="1"/>
  <c r="C10" i="13" s="1"/>
  <c r="K6" i="13" l="1"/>
  <c r="I7" i="13" s="1"/>
  <c r="B27" i="11"/>
  <c r="C27" i="11" s="1"/>
  <c r="D26" i="11"/>
  <c r="D10" i="13"/>
  <c r="E10" i="13" s="1"/>
  <c r="D27" i="11" l="1"/>
  <c r="E27" i="11"/>
  <c r="B28" i="11"/>
  <c r="E26" i="11"/>
  <c r="C11" i="13"/>
  <c r="D11" i="13" s="1"/>
  <c r="E11" i="13" s="1"/>
  <c r="C12" i="13" s="1"/>
  <c r="C28" i="11" l="1"/>
  <c r="B32" i="11"/>
  <c r="B34" i="11"/>
  <c r="J7" i="13"/>
  <c r="B33" i="11"/>
  <c r="B30" i="11"/>
  <c r="D28" i="11"/>
  <c r="D12" i="13"/>
  <c r="E12" i="13" s="1"/>
  <c r="C13" i="13" s="1"/>
  <c r="K7" i="13" l="1"/>
  <c r="I8" i="13" s="1"/>
  <c r="B36" i="11"/>
  <c r="B37" i="11" s="1"/>
  <c r="E28" i="11"/>
  <c r="B31" i="11" s="1"/>
  <c r="D13" i="13"/>
  <c r="E13" i="13" s="1"/>
  <c r="J8" i="13" l="1"/>
  <c r="K8" i="13" l="1"/>
  <c r="I9" i="13" s="1"/>
  <c r="J9" i="13" l="1"/>
  <c r="K9" i="13" s="1"/>
  <c r="I10" i="13" s="1"/>
  <c r="J10" i="13" l="1"/>
  <c r="K10" i="13" s="1"/>
  <c r="I11" i="13" l="1"/>
  <c r="J11" i="13" s="1"/>
  <c r="K11" i="13" s="1"/>
  <c r="I12" i="13" s="1"/>
  <c r="J12" i="13" s="1"/>
  <c r="K12" i="13" s="1"/>
  <c r="I13" i="13" s="1"/>
  <c r="J13" i="13" l="1"/>
  <c r="K13" i="13" s="1"/>
  <c r="I14" i="13" s="1"/>
  <c r="J14" i="13" l="1"/>
  <c r="K14" i="13" s="1"/>
  <c r="I15" i="13" l="1"/>
  <c r="J15" i="13" s="1"/>
  <c r="K15" i="13" s="1"/>
  <c r="I16" i="13" l="1"/>
  <c r="J16" i="13" s="1"/>
  <c r="K16" i="13" s="1"/>
  <c r="I17" i="13" l="1"/>
  <c r="J17" i="13" s="1"/>
  <c r="K17" i="13" s="1"/>
  <c r="I18" i="13" l="1"/>
  <c r="J18" i="13" s="1"/>
  <c r="K18" i="13" s="1"/>
  <c r="I19" i="13" s="1"/>
  <c r="J19" i="13" s="1"/>
  <c r="K19" i="13" s="1"/>
  <c r="I20" i="13" l="1"/>
  <c r="J20" i="13" s="1"/>
  <c r="K20" i="13" s="1"/>
  <c r="I21" i="13" l="1"/>
  <c r="J21" i="13" s="1"/>
  <c r="K21" i="13" s="1"/>
  <c r="I22" i="13" l="1"/>
  <c r="J22" i="13" s="1"/>
  <c r="K22" i="13" s="1"/>
  <c r="I23" i="13" s="1"/>
  <c r="J23" i="13" s="1"/>
  <c r="K23" i="13" s="1"/>
  <c r="I24" i="13" l="1"/>
  <c r="J24" i="13" s="1"/>
  <c r="K24" i="13" s="1"/>
  <c r="I25" i="13" l="1"/>
  <c r="J25" i="13" s="1"/>
  <c r="K25" i="13" s="1"/>
  <c r="I26" i="13" l="1"/>
  <c r="J26" i="13" s="1"/>
  <c r="K26" i="13" s="1"/>
  <c r="I27" i="13" l="1"/>
  <c r="J27" i="13" s="1"/>
  <c r="K27" i="13" s="1"/>
  <c r="I28" i="13" l="1"/>
  <c r="J28" i="13" s="1"/>
  <c r="K28" i="13" s="1"/>
  <c r="I29" i="13" l="1"/>
  <c r="J29" i="13" s="1"/>
  <c r="K29" i="13" s="1"/>
  <c r="I30" i="13" l="1"/>
  <c r="J30" i="13" s="1"/>
  <c r="K30" i="13" s="1"/>
  <c r="I31" i="13" l="1"/>
  <c r="J31" i="13" s="1"/>
  <c r="K31" i="13" s="1"/>
  <c r="I32" i="13" l="1"/>
  <c r="J32" i="13" s="1"/>
  <c r="K32" i="13" s="1"/>
  <c r="I33" i="13" l="1"/>
  <c r="J33" i="13" s="1"/>
  <c r="K33" i="13" s="1"/>
  <c r="I34" i="13" l="1"/>
  <c r="J34" i="13" s="1"/>
  <c r="K34" i="13" s="1"/>
  <c r="I35" i="13" l="1"/>
  <c r="J35" i="13" s="1"/>
  <c r="K35" i="13" s="1"/>
  <c r="I36" i="13" l="1"/>
  <c r="J36" i="13" s="1"/>
  <c r="K36" i="13" s="1"/>
  <c r="I37" i="13" s="1"/>
  <c r="J37" i="13" s="1"/>
  <c r="K37" i="13" s="1"/>
  <c r="I38" i="13" l="1"/>
  <c r="J38" i="13" s="1"/>
  <c r="K38" i="13" s="1"/>
  <c r="I39" i="13" l="1"/>
  <c r="J39" i="13" s="1"/>
  <c r="K39" i="13" s="1"/>
  <c r="I40" i="13" l="1"/>
  <c r="J40" i="13" s="1"/>
  <c r="K40" i="13" s="1"/>
  <c r="I41" i="13" l="1"/>
  <c r="J41" i="13" s="1"/>
  <c r="K41" i="13" s="1"/>
  <c r="I42" i="13" s="1"/>
  <c r="J42" i="13" s="1"/>
  <c r="K42" i="13" s="1"/>
  <c r="I43" i="13" l="1"/>
  <c r="J43" i="13" s="1"/>
  <c r="K43" i="13" s="1"/>
  <c r="I44" i="13" s="1"/>
  <c r="J44" i="13" s="1"/>
  <c r="K44" i="13" s="1"/>
  <c r="I45" i="13" s="1"/>
  <c r="J45" i="13" s="1"/>
  <c r="K45" i="13" s="1"/>
  <c r="I46" i="13" s="1"/>
  <c r="J46" i="13" s="1"/>
  <c r="K46" i="13" s="1"/>
  <c r="I47" i="13" s="1"/>
  <c r="J47" i="13" s="1"/>
  <c r="K47" i="13" s="1"/>
  <c r="I48" i="13" l="1"/>
  <c r="J48" i="13" s="1"/>
  <c r="K48" i="13" s="1"/>
  <c r="I49" i="13" l="1"/>
  <c r="J49" i="13" s="1"/>
  <c r="K49" i="13" s="1"/>
  <c r="I50" i="13" l="1"/>
  <c r="J50" i="13" s="1"/>
  <c r="K50" i="13" s="1"/>
  <c r="I51" i="13" l="1"/>
  <c r="J51" i="13" s="1"/>
  <c r="K51" i="13" s="1"/>
  <c r="I52" i="13" l="1"/>
  <c r="J52" i="13" s="1"/>
  <c r="K52" i="13" s="1"/>
  <c r="I53" i="13" l="1"/>
  <c r="J53" i="13" s="1"/>
  <c r="K53" i="13" s="1"/>
  <c r="I54" i="13" l="1"/>
  <c r="J54" i="13" s="1"/>
  <c r="K54" i="13" s="1"/>
  <c r="I55" i="13" l="1"/>
  <c r="J55" i="13" s="1"/>
  <c r="K55" i="13" s="1"/>
  <c r="I56" i="13" l="1"/>
  <c r="J56" i="13" s="1"/>
  <c r="K56" i="13" s="1"/>
  <c r="I57" i="13" l="1"/>
  <c r="J57" i="13" s="1"/>
  <c r="K57" i="13" s="1"/>
  <c r="I58" i="13" s="1"/>
  <c r="J58" i="13" s="1"/>
  <c r="K58" i="13" s="1"/>
  <c r="I59" i="13" l="1"/>
  <c r="J59" i="13" s="1"/>
  <c r="K59" i="13" s="1"/>
  <c r="I60" i="13" l="1"/>
  <c r="J60" i="13" s="1"/>
  <c r="K60" i="13" s="1"/>
  <c r="I61" i="13" l="1"/>
  <c r="J61" i="13" s="1"/>
  <c r="K61" i="13" s="1"/>
  <c r="I62" i="13" s="1"/>
  <c r="J62" i="13" s="1"/>
  <c r="K62" i="13" s="1"/>
  <c r="I63" i="13" l="1"/>
  <c r="J63" i="13" s="1"/>
  <c r="K63" i="13" s="1"/>
  <c r="I64" i="13" s="1"/>
  <c r="J64" i="13" s="1"/>
  <c r="K64" i="13" s="1"/>
  <c r="I65" i="13" s="1"/>
  <c r="J65" i="13" s="1"/>
  <c r="K65" i="13" s="1"/>
  <c r="I66" i="13" l="1"/>
  <c r="J66" i="13" s="1"/>
  <c r="K66" i="13" s="1"/>
  <c r="I67" i="13" l="1"/>
  <c r="J67" i="13" s="1"/>
  <c r="K67" i="13" s="1"/>
  <c r="I68" i="13" s="1"/>
  <c r="J68" i="13" s="1"/>
  <c r="K68" i="13" s="1"/>
  <c r="I69" i="13" l="1"/>
  <c r="J69" i="13" s="1"/>
  <c r="K69" i="13" s="1"/>
  <c r="I70" i="13" s="1"/>
  <c r="J70" i="13" s="1"/>
  <c r="K70" i="13" s="1"/>
  <c r="I71" i="13" s="1"/>
  <c r="J71" i="13" s="1"/>
  <c r="K71" i="13" s="1"/>
  <c r="I72" i="13" s="1"/>
  <c r="J72" i="13" s="1"/>
  <c r="K72" i="13" s="1"/>
  <c r="I73" i="13" s="1"/>
  <c r="J73" i="13" s="1"/>
  <c r="K73" i="13" s="1"/>
  <c r="I74" i="13" s="1"/>
  <c r="J74" i="13" s="1"/>
  <c r="K74" i="13" s="1"/>
  <c r="I75" i="13" s="1"/>
  <c r="J75" i="13" s="1"/>
  <c r="K75" i="13" s="1"/>
  <c r="I76" i="13" l="1"/>
  <c r="J76" i="13" s="1"/>
  <c r="K76" i="13" s="1"/>
  <c r="I77" i="13" l="1"/>
  <c r="J77" i="13" s="1"/>
  <c r="K77" i="13" s="1"/>
  <c r="I78" i="13" l="1"/>
  <c r="J78" i="13" s="1"/>
  <c r="K78" i="13" s="1"/>
  <c r="I79" i="13" s="1"/>
  <c r="J79" i="13" s="1"/>
  <c r="K79" i="13" s="1"/>
  <c r="I80" i="13" s="1"/>
  <c r="J80" i="13" s="1"/>
  <c r="K80" i="13" s="1"/>
  <c r="I81" i="13" s="1"/>
  <c r="J81" i="13" s="1"/>
  <c r="K81" i="13" s="1"/>
  <c r="I82" i="13" s="1"/>
  <c r="J82" i="13" s="1"/>
  <c r="K82" i="13" s="1"/>
  <c r="I83" i="13" s="1"/>
  <c r="J83" i="13" s="1"/>
  <c r="K83" i="13" s="1"/>
  <c r="I84" i="13" s="1"/>
  <c r="J84" i="13" s="1"/>
  <c r="K84" i="13" s="1"/>
  <c r="I85" i="13" l="1"/>
  <c r="J85" i="13" s="1"/>
  <c r="K85" i="13" s="1"/>
  <c r="I86" i="13" s="1"/>
  <c r="J86" i="13" s="1"/>
  <c r="K86" i="13" s="1"/>
  <c r="I87" i="13" s="1"/>
  <c r="J87" i="13" s="1"/>
  <c r="K87" i="13" s="1"/>
  <c r="I88" i="13" s="1"/>
  <c r="J88" i="13" s="1"/>
  <c r="K88" i="13" s="1"/>
  <c r="I89" i="13" s="1"/>
  <c r="J89" i="13" l="1"/>
  <c r="K89" i="13" s="1"/>
  <c r="I90" i="13" s="1"/>
  <c r="J90" i="13" l="1"/>
  <c r="K90" i="13" s="1"/>
  <c r="I91" i="13" s="1"/>
  <c r="J91" i="13" l="1"/>
  <c r="K91" i="13" s="1"/>
  <c r="I92" i="13" s="1"/>
  <c r="J92" i="13" l="1"/>
  <c r="K92" i="13" s="1"/>
  <c r="I93" i="13" s="1"/>
  <c r="J93" i="13" l="1"/>
  <c r="K93" i="13" s="1"/>
  <c r="I94" i="13" s="1"/>
  <c r="J94" i="13" l="1"/>
  <c r="K94" i="13" s="1"/>
  <c r="I95" i="13" s="1"/>
  <c r="J95" i="13" l="1"/>
  <c r="K95" i="13" s="1"/>
  <c r="I96" i="13" s="1"/>
  <c r="J96" i="13" l="1"/>
  <c r="K96" i="13" s="1"/>
  <c r="I97" i="13" s="1"/>
  <c r="J97" i="13" l="1"/>
  <c r="K97" i="13" s="1"/>
  <c r="I98" i="13" s="1"/>
  <c r="J98" i="13" l="1"/>
  <c r="K98" i="13" s="1"/>
  <c r="I99" i="13" s="1"/>
  <c r="J99" i="13" l="1"/>
  <c r="K99" i="13" s="1"/>
  <c r="I100" i="13" s="1"/>
  <c r="J100" i="13" l="1"/>
  <c r="K100" i="13" s="1"/>
  <c r="I101" i="13" s="1"/>
  <c r="J101" i="13" l="1"/>
  <c r="K101" i="13" s="1"/>
  <c r="I102" i="13" s="1"/>
  <c r="J102" i="13" l="1"/>
  <c r="K102" i="13" s="1"/>
  <c r="I103" i="13" s="1"/>
  <c r="J103" i="13" l="1"/>
  <c r="I124" i="13"/>
  <c r="K103" i="13" l="1"/>
  <c r="J124" i="13"/>
  <c r="I104" i="13" l="1"/>
  <c r="J104" i="13" s="1"/>
  <c r="K104" i="13" s="1"/>
  <c r="I105" i="13" s="1"/>
  <c r="J105" i="13" s="1"/>
  <c r="K105" i="13" s="1"/>
  <c r="I106" i="13" s="1"/>
  <c r="J106" i="13" s="1"/>
  <c r="K106" i="13" s="1"/>
  <c r="I107" i="13" s="1"/>
  <c r="J107" i="13" s="1"/>
  <c r="K107" i="13" s="1"/>
  <c r="I108" i="13" s="1"/>
  <c r="J108" i="13" s="1"/>
  <c r="K108" i="13" s="1"/>
  <c r="I109" i="13" s="1"/>
  <c r="J109" i="13" s="1"/>
  <c r="K109" i="13" s="1"/>
  <c r="I110" i="13" s="1"/>
  <c r="J110" i="13" s="1"/>
  <c r="K110" i="13" s="1"/>
  <c r="I111" i="13" s="1"/>
  <c r="J111" i="13" s="1"/>
  <c r="K111" i="13" s="1"/>
  <c r="I112" i="13" s="1"/>
  <c r="J112" i="13" s="1"/>
  <c r="K112" i="13" s="1"/>
  <c r="I113" i="13" l="1"/>
  <c r="J113" i="13" s="1"/>
  <c r="K113" i="13" s="1"/>
  <c r="I114" i="13" s="1"/>
  <c r="J114" i="13" s="1"/>
  <c r="K114" i="13" s="1"/>
  <c r="I115" i="13" s="1"/>
  <c r="J115" i="13" s="1"/>
  <c r="K115" i="13" s="1"/>
  <c r="I116" i="13" s="1"/>
  <c r="J116" i="13" s="1"/>
  <c r="K116" i="13" s="1"/>
  <c r="I117" i="13" l="1"/>
  <c r="J117" i="13" s="1"/>
  <c r="K117" i="13" s="1"/>
  <c r="I118" i="13" s="1"/>
  <c r="J118" i="13" s="1"/>
  <c r="K118" i="13" s="1"/>
  <c r="I119" i="13" s="1"/>
  <c r="J119" i="13" s="1"/>
  <c r="K119" i="13" s="1"/>
  <c r="I120" i="13" l="1"/>
  <c r="J120" i="13" s="1"/>
  <c r="K120" i="13" s="1"/>
  <c r="I121" i="13" l="1"/>
  <c r="J121" i="13" s="1"/>
  <c r="K121" i="13" s="1"/>
  <c r="I122" i="13" s="1"/>
  <c r="J122" i="13" s="1"/>
  <c r="K122" i="13" s="1"/>
  <c r="I123" i="13" s="1"/>
  <c r="J123" i="13" s="1"/>
  <c r="K123" i="13" s="1"/>
</calcChain>
</file>

<file path=xl/sharedStrings.xml><?xml version="1.0" encoding="utf-8"?>
<sst xmlns="http://schemas.openxmlformats.org/spreadsheetml/2006/main" count="476" uniqueCount="279">
  <si>
    <t>Balance Sheet</t>
  </si>
  <si>
    <t>Assets</t>
  </si>
  <si>
    <t>Current Assets</t>
  </si>
  <si>
    <t>Inventory</t>
  </si>
  <si>
    <t>Prepayments</t>
  </si>
  <si>
    <t>Office/Store Supplies</t>
  </si>
  <si>
    <t>Other Current Assets</t>
  </si>
  <si>
    <t>Fixed Assets</t>
  </si>
  <si>
    <t>Land</t>
  </si>
  <si>
    <t>Plant &amp; Building</t>
  </si>
  <si>
    <t>Machinery &amp; Equipment</t>
  </si>
  <si>
    <t>Short Term Investments</t>
  </si>
  <si>
    <t>Long Term Investments</t>
  </si>
  <si>
    <t>Other Fixed Assets</t>
  </si>
  <si>
    <t>Total Assets</t>
  </si>
  <si>
    <t>Liabilities &amp; Equity</t>
  </si>
  <si>
    <t>Current Liabilities</t>
  </si>
  <si>
    <t>Accounts Payable</t>
  </si>
  <si>
    <t>Accrued Expenses</t>
  </si>
  <si>
    <t>Short Term Portion of Long Term Liability</t>
  </si>
  <si>
    <t>Short Term Debt</t>
  </si>
  <si>
    <t>Other Current Liabilities</t>
  </si>
  <si>
    <t>Long Term Liabilities</t>
  </si>
  <si>
    <t>Long Term Debts</t>
  </si>
  <si>
    <t>Commitments Under Finance Lease</t>
  </si>
  <si>
    <t>Other Long Term Liabilities</t>
  </si>
  <si>
    <t>Equities</t>
  </si>
  <si>
    <t>Paid-up-Capital</t>
  </si>
  <si>
    <t>Reserves</t>
  </si>
  <si>
    <t>Retained Earnings</t>
  </si>
  <si>
    <t>Unearned Income</t>
  </si>
  <si>
    <t>Cash and Bank Balances</t>
  </si>
  <si>
    <t>Intangible Assets</t>
  </si>
  <si>
    <t>Long Term Advances</t>
  </si>
  <si>
    <t>Long Term Deposits</t>
  </si>
  <si>
    <t>Short Term Loan and Advances</t>
  </si>
  <si>
    <t>Short Term Deposits</t>
  </si>
  <si>
    <t>Total Equities</t>
  </si>
  <si>
    <t>Total Liabilities and Equity</t>
  </si>
  <si>
    <t xml:space="preserve">    Total Current Assets</t>
  </si>
  <si>
    <t xml:space="preserve">    Total Fixed Assets</t>
  </si>
  <si>
    <t xml:space="preserve">    Total Current Liabilities</t>
  </si>
  <si>
    <t xml:space="preserve">    Total Equities</t>
  </si>
  <si>
    <t>Amount in Thousands</t>
  </si>
  <si>
    <t>Income Statement</t>
  </si>
  <si>
    <t>Less: Cost of Goods Sold</t>
  </si>
  <si>
    <t>Less: Operating Expenses</t>
  </si>
  <si>
    <t>Administrative Expenses</t>
  </si>
  <si>
    <t>Selling, Distribution &amp; Marketing Expenses</t>
  </si>
  <si>
    <t>Depreciation Expense</t>
  </si>
  <si>
    <t>Rent Expense</t>
  </si>
  <si>
    <t>Other Expenses</t>
  </si>
  <si>
    <t>Less: Interest Expense</t>
  </si>
  <si>
    <t>Profit After Tax</t>
  </si>
  <si>
    <t>Other Income</t>
  </si>
  <si>
    <t>Net Sales</t>
  </si>
  <si>
    <t xml:space="preserve">    Gross Profit</t>
  </si>
  <si>
    <t xml:space="preserve">    Total Operating Expenses</t>
  </si>
  <si>
    <t xml:space="preserve">    Operating Income</t>
  </si>
  <si>
    <t xml:space="preserve">    Profit Before Tax</t>
  </si>
  <si>
    <t xml:space="preserve">    Less: Tax</t>
  </si>
  <si>
    <t>Liquidity Ratios</t>
  </si>
  <si>
    <t>Cash Ratio</t>
  </si>
  <si>
    <t>Current Ratio</t>
  </si>
  <si>
    <t>Quick Ratio</t>
  </si>
  <si>
    <t>Debt to Equity Ratio</t>
  </si>
  <si>
    <t>Debt to Assets Ratio</t>
  </si>
  <si>
    <t>Times Interest Earned Ratio</t>
  </si>
  <si>
    <t>EBITDA to Interest Ratio</t>
  </si>
  <si>
    <t>Leverage Ratios</t>
  </si>
  <si>
    <t>Profitability Ratios</t>
  </si>
  <si>
    <t>Gross Profit Margin</t>
  </si>
  <si>
    <t>Operating Profit Margin</t>
  </si>
  <si>
    <t>Net Profit Margin</t>
  </si>
  <si>
    <t>Return on Assets</t>
  </si>
  <si>
    <t>Return on Equity</t>
  </si>
  <si>
    <t>Return on Capital Employed</t>
  </si>
  <si>
    <t>Asset Turnover Ratios</t>
  </si>
  <si>
    <t>Fixed Asset turnover</t>
  </si>
  <si>
    <t>Total Asset Turnover</t>
  </si>
  <si>
    <t>Du-Pont 3-Point ROE</t>
  </si>
  <si>
    <t>Equity Multiplier</t>
  </si>
  <si>
    <t>Activity Ratios / Efficiency Ratios</t>
  </si>
  <si>
    <t>Inventory Turnover Ratio</t>
  </si>
  <si>
    <t>Receivable Turnover Ratio</t>
  </si>
  <si>
    <t>Receivable Turnover Ratio (in Days)</t>
  </si>
  <si>
    <t>Inventory Turnover Ratio (in Days)</t>
  </si>
  <si>
    <t>Cash Conversion Cycle in Days</t>
  </si>
  <si>
    <t xml:space="preserve">    Total Long Term Liabilities</t>
  </si>
  <si>
    <t>Total Liabilities</t>
  </si>
  <si>
    <t>Number of Shares Outstanding</t>
  </si>
  <si>
    <t>Price Per Share at Period End</t>
  </si>
  <si>
    <t>Price / Sales per Share</t>
  </si>
  <si>
    <t>Price / Net Cash Flow Per Share</t>
  </si>
  <si>
    <t>Price / Book Value Per share</t>
  </si>
  <si>
    <t>Price / EPS</t>
  </si>
  <si>
    <t>EPS</t>
  </si>
  <si>
    <t>Book Value Per share</t>
  </si>
  <si>
    <t>Net Sales per Share</t>
  </si>
  <si>
    <t>Operating Cash Flow</t>
  </si>
  <si>
    <t>Operating Cash Flow Per Share</t>
  </si>
  <si>
    <t>Input Figures</t>
  </si>
  <si>
    <t>Amount in Actual</t>
  </si>
  <si>
    <t>EBIT</t>
  </si>
  <si>
    <t>Depreciation</t>
  </si>
  <si>
    <t>EBITDA Per Share</t>
  </si>
  <si>
    <t>Price / EBITDA Per Share</t>
  </si>
  <si>
    <t>Enterprise Value</t>
  </si>
  <si>
    <t>Market Capitalization</t>
  </si>
  <si>
    <t>Book Value of Firm</t>
  </si>
  <si>
    <t>Market Value Added</t>
  </si>
  <si>
    <t>Economic Value Added</t>
  </si>
  <si>
    <t>NOPAT</t>
  </si>
  <si>
    <t>Invested Capital</t>
  </si>
  <si>
    <t>Weighted Average Cost of Capital</t>
  </si>
  <si>
    <t>Total Debt</t>
  </si>
  <si>
    <t>Cost of Debt</t>
  </si>
  <si>
    <t>Month</t>
  </si>
  <si>
    <t>KSE-100 Index</t>
  </si>
  <si>
    <t>Stock Price</t>
  </si>
  <si>
    <t>Stock Beta</t>
  </si>
  <si>
    <t>Ri</t>
  </si>
  <si>
    <t>Rm</t>
  </si>
  <si>
    <t>Cost of Equity - CAPM Approach</t>
  </si>
  <si>
    <t>Rm - Annual</t>
  </si>
  <si>
    <t>RRR - CAPM</t>
  </si>
  <si>
    <t>Rf</t>
  </si>
  <si>
    <t>Date</t>
  </si>
  <si>
    <t>KSE-100</t>
  </si>
  <si>
    <t>Average Rm</t>
  </si>
  <si>
    <t>WACC</t>
  </si>
  <si>
    <t>EV/EBITDA</t>
  </si>
  <si>
    <t>Cost of Equity - DDM</t>
  </si>
  <si>
    <t>Dividend Per Share</t>
  </si>
  <si>
    <t>WACC - CAPM Approach</t>
  </si>
  <si>
    <t>WACC - DDM Approach</t>
  </si>
  <si>
    <t>Expansion in FA (Growth) (%)</t>
  </si>
  <si>
    <t>Initial Cash Outflow</t>
  </si>
  <si>
    <t>Period / Year</t>
  </si>
  <si>
    <t>Investment in FA</t>
  </si>
  <si>
    <t>Current NWC</t>
  </si>
  <si>
    <t>Growth in NWC</t>
  </si>
  <si>
    <t>Investment in NWC</t>
  </si>
  <si>
    <t>EBITDA Per Year</t>
  </si>
  <si>
    <t>NPV</t>
  </si>
  <si>
    <t>IRR</t>
  </si>
  <si>
    <t>MIRR</t>
  </si>
  <si>
    <t>Peiord</t>
  </si>
  <si>
    <t>Principal Repayment</t>
  </si>
  <si>
    <t>Loan Balance</t>
  </si>
  <si>
    <t>Installment</t>
  </si>
  <si>
    <t>Total</t>
  </si>
  <si>
    <t>Installment Per Year</t>
  </si>
  <si>
    <t>PV of Outflows</t>
  </si>
  <si>
    <t>PV</t>
  </si>
  <si>
    <t>PV of Inflows</t>
  </si>
  <si>
    <t>Profitability Index</t>
  </si>
  <si>
    <t>DDM</t>
  </si>
  <si>
    <t>DPS</t>
  </si>
  <si>
    <t>g</t>
  </si>
  <si>
    <t>Po</t>
  </si>
  <si>
    <t>Current Price</t>
  </si>
  <si>
    <t>Valuation</t>
  </si>
  <si>
    <t>Beta</t>
  </si>
  <si>
    <t>RRR</t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</si>
  <si>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</si>
  <si>
    <t>Using P/E Multiple</t>
  </si>
  <si>
    <t>Intrinsic Value</t>
  </si>
  <si>
    <t>Benjamin Garaham Formula</t>
  </si>
  <si>
    <t>BVPS</t>
  </si>
  <si>
    <t>Purchases</t>
  </si>
  <si>
    <t>Ending Inventory</t>
  </si>
  <si>
    <t>Beginning Inventory</t>
  </si>
  <si>
    <t>COGS</t>
  </si>
  <si>
    <t>Payable Turnover Ratio</t>
  </si>
  <si>
    <t>Payable Turnover Ratio (in Days)</t>
  </si>
  <si>
    <t>Conversion Cycle</t>
  </si>
  <si>
    <t>Operating Cycle in Days</t>
  </si>
  <si>
    <t>Property, Plant &amp; Equipment</t>
  </si>
  <si>
    <t>Average Growth in PAT in 5 Years (%)</t>
  </si>
  <si>
    <t>P/E Expected</t>
  </si>
  <si>
    <t>EPS Expected</t>
  </si>
  <si>
    <t>Operating Cash Flow Ratio</t>
  </si>
  <si>
    <t>Dividend Yield</t>
  </si>
  <si>
    <t>Capital Turnover Ratio</t>
  </si>
  <si>
    <t>NWC Turnover Ratio</t>
  </si>
  <si>
    <t>Operating Leverage</t>
  </si>
  <si>
    <t>Net Sales in Current Period</t>
  </si>
  <si>
    <t>Net Sales in Previous Period</t>
  </si>
  <si>
    <t>EBIT in Current Period</t>
  </si>
  <si>
    <t>EBIT in Previous Period</t>
  </si>
  <si>
    <t>% Change in Net Sales</t>
  </si>
  <si>
    <t>% Change in EBIT</t>
  </si>
  <si>
    <t>Financial Leverage</t>
  </si>
  <si>
    <t>Net Income in Current Period</t>
  </si>
  <si>
    <t>Net Income in Previous Period</t>
  </si>
  <si>
    <t>% Change in Net Income</t>
  </si>
  <si>
    <t>Total Leverage</t>
  </si>
  <si>
    <t>Cash Flow Return on Assets</t>
  </si>
  <si>
    <t>Cash Flow from Operations Ratio</t>
  </si>
  <si>
    <t>Dividend Payout Ratio</t>
  </si>
  <si>
    <t>Operating Cost Ratio</t>
  </si>
  <si>
    <t>Cumulative CF</t>
  </si>
  <si>
    <t>Cumulative PV of CF</t>
  </si>
  <si>
    <t>Payback Period</t>
  </si>
  <si>
    <t>Discount Rate</t>
  </si>
  <si>
    <t>Discounted Payback Period</t>
  </si>
  <si>
    <t>Reinvestment Rate</t>
  </si>
  <si>
    <t>Sales Value</t>
  </si>
  <si>
    <t>Sales Sensitive Assets Value</t>
  </si>
  <si>
    <t>Sales Sensitive Liabilities Value</t>
  </si>
  <si>
    <t>Projected Sales Value</t>
  </si>
  <si>
    <t>Data</t>
  </si>
  <si>
    <t>Additional Funds Needed (AFN)</t>
  </si>
  <si>
    <t>Value in 000s</t>
  </si>
  <si>
    <t>Change in Sales</t>
  </si>
  <si>
    <t>Required Increase in Assets</t>
  </si>
  <si>
    <t>Increase in Retained Earnings</t>
  </si>
  <si>
    <t>Increase in Spontaneous Liabilities</t>
  </si>
  <si>
    <t>Residual Income Approach</t>
  </si>
  <si>
    <t>Book Value</t>
  </si>
  <si>
    <t>Value of a Firm</t>
  </si>
  <si>
    <t>No. of Shares Outstanding</t>
  </si>
  <si>
    <t>Fair Value of Per Share</t>
  </si>
  <si>
    <t>Residual Income Currently</t>
  </si>
  <si>
    <t>PV of All Residual Incomes</t>
  </si>
  <si>
    <t>g=ROEx(1-DPO)</t>
  </si>
  <si>
    <t>Retention Ratio</t>
  </si>
  <si>
    <t>Walter's Model</t>
  </si>
  <si>
    <t>ROE</t>
  </si>
  <si>
    <t>g=ROCEx(1-DPO)</t>
  </si>
  <si>
    <t>FCF Model with Constant Growth</t>
  </si>
  <si>
    <t>FCFF</t>
  </si>
  <si>
    <t>FCFE</t>
  </si>
  <si>
    <t>PPE Current</t>
  </si>
  <si>
    <t>PPE Previous</t>
  </si>
  <si>
    <t>Net Borrowing</t>
  </si>
  <si>
    <t>Total Debt in Current Period</t>
  </si>
  <si>
    <t>Total Debt in Previous Period</t>
  </si>
  <si>
    <t>Equity Value at Constant g from FCFE</t>
  </si>
  <si>
    <t>Intrinsic Value Per Share</t>
  </si>
  <si>
    <t>FCInv (Change in PPE)</t>
  </si>
  <si>
    <t>FCInv</t>
  </si>
  <si>
    <t>WCInv</t>
  </si>
  <si>
    <t>Tax Rate t</t>
  </si>
  <si>
    <r>
      <t>g</t>
    </r>
    <r>
      <rPr>
        <vertAlign val="subscript"/>
        <sz val="11"/>
        <color theme="1"/>
        <rFont val="Calibri"/>
        <family val="2"/>
        <scheme val="minor"/>
      </rPr>
      <t>1</t>
    </r>
  </si>
  <si>
    <r>
      <t>g</t>
    </r>
    <r>
      <rPr>
        <vertAlign val="subscript"/>
        <sz val="11"/>
        <color theme="1"/>
        <rFont val="Calibri"/>
        <family val="2"/>
        <scheme val="minor"/>
      </rPr>
      <t>2</t>
    </r>
  </si>
  <si>
    <t>Growth 1 Period</t>
  </si>
  <si>
    <t>Years in Period 1</t>
  </si>
  <si>
    <t>Dividends</t>
  </si>
  <si>
    <t>PV of Dividends</t>
  </si>
  <si>
    <t>Sum of PV of Dividends</t>
  </si>
  <si>
    <t>V5</t>
  </si>
  <si>
    <t>P0</t>
  </si>
  <si>
    <t>FCF Model with Non Constant Growth</t>
  </si>
  <si>
    <t>Period 1 Assumptions</t>
  </si>
  <si>
    <t>Years</t>
  </si>
  <si>
    <t>Period 2 Assumptions</t>
  </si>
  <si>
    <t>Sum of PV of FCFE in Period 1</t>
  </si>
  <si>
    <t>FCFE in Beginning of Next Phase</t>
  </si>
  <si>
    <t>Dividend in Beginning of Next Phase</t>
  </si>
  <si>
    <t>Terimal FCFE</t>
  </si>
  <si>
    <t>Sum of PV of Total FCFE</t>
  </si>
  <si>
    <t>Annual Amortization</t>
  </si>
  <si>
    <t>Monthly Amortization</t>
  </si>
  <si>
    <t>Average Growth in ROCE in 5 Years</t>
  </si>
  <si>
    <t>Price</t>
  </si>
  <si>
    <t>NWC in Current Period</t>
  </si>
  <si>
    <t>NWC in Previous Period</t>
  </si>
  <si>
    <t>WcInv</t>
  </si>
  <si>
    <t>Internal Growth Rate g= ROAxb/1-ROAxb</t>
  </si>
  <si>
    <t>Sustainable Growth Rate g=ROExb/1-ROExb</t>
  </si>
  <si>
    <t>Mark-up</t>
  </si>
  <si>
    <t>Selling, Marketing &amp; Distribution Expenses</t>
  </si>
  <si>
    <t>Salaries Expense</t>
  </si>
  <si>
    <t>Accounts Receivable</t>
  </si>
  <si>
    <t>Growth in Sales (%)</t>
  </si>
  <si>
    <t>Retention Rate (%)</t>
  </si>
  <si>
    <t>Profit Margin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</si>
</sst>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8" formatCode="&quot;$&quot;#,##0.00_);[Red]\(&quot;$&quot;#,##0.00\)"/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0.0000"/>
    <numFmt numFmtId="167" formatCode="_(* #,##0.0000_);_(* \(#,##0.0000\);_(* &quot;-&quot;??_);_(@_)"/>
    <numFmt numFmtId="168" formatCode="#,##0.00;[Red]#,##0.00"/>
    <numFmt numFmtId="169" formatCode="#,##0;[Red]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9">
    <xf numFmtId="0" fontId="0" fillId="0" borderId="0" xfId="0"/>
    <xf numFmtId="15" fontId="0" fillId="0" borderId="0" xfId="0" applyNumberFormat="1"/>
    <xf numFmtId="0" fontId="3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Protection="1">
      <protection hidden="1"/>
    </xf>
    <xf numFmtId="0" fontId="0" fillId="0" borderId="0" xfId="0" applyProtection="1">
      <protection hidden="1"/>
    </xf>
    <xf numFmtId="0" fontId="0" fillId="0" borderId="1" xfId="0" applyBorder="1" applyProtection="1">
      <protection hidden="1"/>
    </xf>
    <xf numFmtId="0" fontId="4" fillId="0" borderId="1" xfId="0" applyFont="1" applyBorder="1" applyProtection="1">
      <protection hidden="1"/>
    </xf>
    <xf numFmtId="165" fontId="0" fillId="0" borderId="1" xfId="1" applyNumberFormat="1" applyFont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0" fillId="0" borderId="7" xfId="0" applyFont="1" applyFill="1" applyBorder="1" applyProtection="1">
      <protection hidden="1"/>
    </xf>
    <xf numFmtId="0" fontId="2" fillId="0" borderId="0" xfId="0" applyFont="1" applyProtection="1">
      <protection hidden="1"/>
    </xf>
    <xf numFmtId="43" fontId="0" fillId="0" borderId="0" xfId="1" applyFont="1" applyProtection="1">
      <protection hidden="1"/>
    </xf>
    <xf numFmtId="0" fontId="0" fillId="0" borderId="0" xfId="0" applyFont="1" applyProtection="1">
      <protection hidden="1"/>
    </xf>
    <xf numFmtId="0" fontId="0" fillId="0" borderId="0" xfId="0" applyFont="1" applyFill="1" applyProtection="1">
      <protection hidden="1"/>
    </xf>
    <xf numFmtId="10" fontId="0" fillId="0" borderId="0" xfId="2" applyNumberFormat="1" applyFont="1" applyProtection="1">
      <protection hidden="1"/>
    </xf>
    <xf numFmtId="2" fontId="0" fillId="0" borderId="0" xfId="2" applyNumberFormat="1" applyFont="1" applyProtection="1">
      <protection hidden="1"/>
    </xf>
    <xf numFmtId="2" fontId="0" fillId="0" borderId="0" xfId="1" applyNumberFormat="1" applyFont="1" applyProtection="1">
      <protection hidden="1"/>
    </xf>
    <xf numFmtId="165" fontId="0" fillId="0" borderId="0" xfId="1" applyNumberFormat="1" applyFont="1" applyProtection="1">
      <protection hidden="1"/>
    </xf>
    <xf numFmtId="0" fontId="2" fillId="0" borderId="0" xfId="0" applyFont="1" applyAlignment="1" applyProtection="1">
      <protection hidden="1"/>
    </xf>
    <xf numFmtId="165" fontId="0" fillId="0" borderId="0" xfId="1" applyNumberFormat="1" applyFont="1" applyAlignment="1" applyProtection="1">
      <protection hidden="1"/>
    </xf>
    <xf numFmtId="10" fontId="0" fillId="0" borderId="0" xfId="0" applyNumberFormat="1" applyProtection="1">
      <protection hidden="1"/>
    </xf>
    <xf numFmtId="167" fontId="0" fillId="0" borderId="0" xfId="1" applyNumberFormat="1" applyFont="1" applyAlignment="1" applyProtection="1">
      <protection hidden="1"/>
    </xf>
    <xf numFmtId="43" fontId="0" fillId="0" borderId="0" xfId="1" applyNumberFormat="1" applyFont="1" applyAlignment="1" applyProtection="1">
      <protection hidden="1"/>
    </xf>
    <xf numFmtId="0" fontId="0" fillId="0" borderId="0" xfId="0" applyAlignment="1" applyProtection="1">
      <protection hidden="1"/>
    </xf>
    <xf numFmtId="166" fontId="0" fillId="0" borderId="0" xfId="0" applyNumberFormat="1" applyAlignment="1" applyProtection="1">
      <protection hidden="1"/>
    </xf>
    <xf numFmtId="0" fontId="6" fillId="0" borderId="0" xfId="0" applyFont="1" applyProtection="1">
      <protection hidden="1"/>
    </xf>
    <xf numFmtId="166" fontId="2" fillId="0" borderId="0" xfId="0" applyNumberFormat="1" applyFont="1" applyAlignment="1" applyProtection="1">
      <protection hidden="1"/>
    </xf>
    <xf numFmtId="166" fontId="2" fillId="0" borderId="0" xfId="2" applyNumberFormat="1" applyFont="1" applyAlignment="1" applyProtection="1">
      <protection hidden="1"/>
    </xf>
    <xf numFmtId="165" fontId="0" fillId="0" borderId="0" xfId="0" applyNumberFormat="1" applyAlignment="1" applyProtection="1">
      <protection hidden="1"/>
    </xf>
    <xf numFmtId="43" fontId="0" fillId="0" borderId="0" xfId="0" applyNumberFormat="1" applyAlignment="1" applyProtection="1">
      <protection hidden="1"/>
    </xf>
    <xf numFmtId="0" fontId="3" fillId="0" borderId="0" xfId="0" applyFont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10" fontId="0" fillId="0" borderId="1" xfId="2" applyNumberFormat="1" applyFont="1" applyBorder="1" applyAlignment="1" applyProtection="1">
      <alignment horizontal="center"/>
      <protection hidden="1"/>
    </xf>
    <xf numFmtId="165" fontId="0" fillId="0" borderId="1" xfId="1" applyNumberFormat="1" applyFont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left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left"/>
      <protection hidden="1"/>
    </xf>
    <xf numFmtId="165" fontId="1" fillId="4" borderId="1" xfId="1" applyNumberFormat="1" applyFont="1" applyFill="1" applyBorder="1" applyAlignment="1" applyProtection="1">
      <alignment horizontal="center"/>
      <protection hidden="1"/>
    </xf>
    <xf numFmtId="165" fontId="0" fillId="4" borderId="1" xfId="1" applyNumberFormat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/>
      <protection hidden="1"/>
    </xf>
    <xf numFmtId="0" fontId="5" fillId="0" borderId="1" xfId="0" applyFont="1" applyBorder="1" applyAlignment="1" applyProtection="1">
      <alignment horizontal="left"/>
      <protection hidden="1"/>
    </xf>
    <xf numFmtId="0" fontId="2" fillId="0" borderId="0" xfId="0" applyFont="1" applyAlignment="1" applyProtection="1">
      <alignment horizontal="center"/>
      <protection hidden="1"/>
    </xf>
    <xf numFmtId="15" fontId="0" fillId="0" borderId="0" xfId="0" applyNumberFormat="1" applyBorder="1" applyProtection="1">
      <protection hidden="1"/>
    </xf>
    <xf numFmtId="0" fontId="0" fillId="0" borderId="0" xfId="0" applyBorder="1" applyProtection="1">
      <protection hidden="1"/>
    </xf>
    <xf numFmtId="0" fontId="2" fillId="0" borderId="1" xfId="0" applyFont="1" applyBorder="1" applyProtection="1">
      <protection hidden="1"/>
    </xf>
    <xf numFmtId="0" fontId="2" fillId="0" borderId="0" xfId="0" applyFont="1" applyBorder="1" applyAlignment="1" applyProtection="1">
      <protection hidden="1"/>
    </xf>
    <xf numFmtId="10" fontId="0" fillId="0" borderId="0" xfId="2" applyNumberFormat="1" applyFont="1" applyBorder="1" applyAlignment="1" applyProtection="1">
      <protection hidden="1"/>
    </xf>
    <xf numFmtId="10" fontId="2" fillId="0" borderId="0" xfId="2" applyNumberFormat="1" applyFont="1" applyBorder="1" applyAlignment="1" applyProtection="1">
      <protection hidden="1"/>
    </xf>
    <xf numFmtId="10" fontId="0" fillId="0" borderId="0" xfId="2" applyNumberFormat="1" applyFont="1" applyAlignment="1" applyProtection="1">
      <protection hidden="1"/>
    </xf>
    <xf numFmtId="15" fontId="0" fillId="0" borderId="0" xfId="0" applyNumberFormat="1" applyAlignment="1" applyProtection="1">
      <alignment vertical="center" wrapText="1"/>
      <protection hidden="1"/>
    </xf>
    <xf numFmtId="15" fontId="2" fillId="0" borderId="0" xfId="0" applyNumberFormat="1" applyFont="1" applyAlignment="1" applyProtection="1">
      <alignment horizontal="center" vertical="center" wrapText="1"/>
      <protection hidden="1"/>
    </xf>
    <xf numFmtId="15" fontId="2" fillId="0" borderId="1" xfId="0" applyNumberFormat="1" applyFont="1" applyBorder="1" applyAlignment="1" applyProtection="1">
      <alignment vertical="center" wrapText="1"/>
      <protection hidden="1"/>
    </xf>
    <xf numFmtId="0" fontId="2" fillId="0" borderId="1" xfId="0" applyFont="1" applyBorder="1" applyAlignment="1" applyProtection="1">
      <alignment vertical="center" wrapText="1"/>
      <protection hidden="1"/>
    </xf>
    <xf numFmtId="15" fontId="0" fillId="0" borderId="1" xfId="0" applyNumberFormat="1" applyBorder="1" applyAlignment="1" applyProtection="1">
      <alignment vertical="center" wrapText="1"/>
      <protection hidden="1"/>
    </xf>
    <xf numFmtId="0" fontId="2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vertical="center" wrapText="1"/>
      <protection hidden="1"/>
    </xf>
    <xf numFmtId="165" fontId="0" fillId="0" borderId="1" xfId="1" applyNumberFormat="1" applyFont="1" applyBorder="1" applyAlignment="1" applyProtection="1">
      <alignment vertical="center" wrapText="1"/>
      <protection hidden="1"/>
    </xf>
    <xf numFmtId="15" fontId="6" fillId="0" borderId="1" xfId="0" applyNumberFormat="1" applyFont="1" applyBorder="1" applyAlignment="1" applyProtection="1">
      <alignment vertical="center" wrapText="1"/>
      <protection hidden="1"/>
    </xf>
    <xf numFmtId="15" fontId="6" fillId="0" borderId="0" xfId="0" applyNumberFormat="1" applyFont="1" applyAlignment="1" applyProtection="1">
      <alignment vertical="center" wrapText="1"/>
      <protection hidden="1"/>
    </xf>
    <xf numFmtId="0" fontId="0" fillId="0" borderId="1" xfId="0" applyBorder="1" applyAlignment="1" applyProtection="1">
      <alignment vertical="center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0" xfId="0" applyNumberFormat="1" applyProtection="1">
      <protection hidden="1"/>
    </xf>
    <xf numFmtId="1" fontId="0" fillId="0" borderId="1" xfId="0" applyNumberFormat="1" applyBorder="1" applyAlignment="1" applyProtection="1">
      <alignment horizontal="left"/>
      <protection hidden="1"/>
    </xf>
    <xf numFmtId="165" fontId="0" fillId="0" borderId="1" xfId="0" applyNumberFormat="1" applyBorder="1" applyAlignment="1" applyProtection="1">
      <alignment horizontal="center" vertical="center"/>
      <protection hidden="1"/>
    </xf>
    <xf numFmtId="1" fontId="0" fillId="0" borderId="1" xfId="0" applyNumberFormat="1" applyBorder="1" applyAlignment="1" applyProtection="1">
      <alignment horizontal="left" vertical="center" wrapText="1"/>
      <protection hidden="1"/>
    </xf>
    <xf numFmtId="164" fontId="0" fillId="0" borderId="0" xfId="0" applyNumberFormat="1" applyProtection="1">
      <protection hidden="1"/>
    </xf>
    <xf numFmtId="1" fontId="0" fillId="0" borderId="0" xfId="0" applyNumberFormat="1" applyAlignment="1" applyProtection="1">
      <alignment horizontal="left" vertical="center" wrapText="1"/>
      <protection hidden="1"/>
    </xf>
    <xf numFmtId="165" fontId="0" fillId="0" borderId="0" xfId="1" applyNumberFormat="1" applyFont="1" applyAlignment="1" applyProtection="1">
      <alignment vertical="center" wrapText="1"/>
      <protection hidden="1"/>
    </xf>
    <xf numFmtId="43" fontId="0" fillId="0" borderId="1" xfId="1" applyNumberFormat="1" applyFont="1" applyBorder="1" applyAlignment="1" applyProtection="1">
      <alignment vertical="center" wrapText="1"/>
      <protection hidden="1"/>
    </xf>
    <xf numFmtId="164" fontId="0" fillId="0" borderId="1" xfId="0" applyNumberFormat="1" applyBorder="1" applyProtection="1">
      <protection hidden="1"/>
    </xf>
    <xf numFmtId="165" fontId="0" fillId="0" borderId="0" xfId="0" applyNumberFormat="1" applyProtection="1">
      <protection hidden="1"/>
    </xf>
    <xf numFmtId="10" fontId="0" fillId="0" borderId="1" xfId="0" applyNumberFormat="1" applyBorder="1" applyAlignment="1" applyProtection="1">
      <alignment vertical="center" wrapText="1"/>
      <protection hidden="1"/>
    </xf>
    <xf numFmtId="165" fontId="0" fillId="0" borderId="1" xfId="0" applyNumberFormat="1" applyBorder="1" applyAlignment="1" applyProtection="1">
      <alignment vertical="center" wrapText="1"/>
      <protection hidden="1"/>
    </xf>
    <xf numFmtId="8" fontId="0" fillId="0" borderId="0" xfId="0" applyNumberFormat="1" applyProtection="1">
      <protection hidden="1"/>
    </xf>
    <xf numFmtId="43" fontId="0" fillId="0" borderId="1" xfId="0" applyNumberFormat="1" applyBorder="1" applyAlignment="1" applyProtection="1">
      <alignment vertical="center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43" fontId="0" fillId="0" borderId="1" xfId="0" applyNumberFormat="1" applyBorder="1" applyAlignment="1" applyProtection="1">
      <alignment horizontal="center"/>
      <protection hidden="1"/>
    </xf>
    <xf numFmtId="165" fontId="0" fillId="0" borderId="1" xfId="0" applyNumberFormat="1" applyBorder="1" applyAlignment="1" applyProtection="1">
      <alignment horizontal="center"/>
      <protection hidden="1"/>
    </xf>
    <xf numFmtId="168" fontId="7" fillId="0" borderId="0" xfId="0" applyNumberFormat="1" applyFont="1" applyAlignment="1" applyProtection="1">
      <alignment horizontal="center"/>
      <protection hidden="1"/>
    </xf>
    <xf numFmtId="169" fontId="7" fillId="0" borderId="0" xfId="0" applyNumberFormat="1" applyFont="1" applyAlignment="1" applyProtection="1">
      <alignment horizontal="center"/>
      <protection hidden="1"/>
    </xf>
    <xf numFmtId="169" fontId="7" fillId="0" borderId="0" xfId="0" applyNumberFormat="1" applyFont="1" applyAlignment="1" applyProtection="1">
      <protection hidden="1"/>
    </xf>
    <xf numFmtId="168" fontId="7" fillId="0" borderId="0" xfId="0" applyNumberFormat="1" applyFont="1" applyAlignment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0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3" xfId="0" applyFont="1" applyBorder="1" applyAlignment="1" applyProtection="1">
      <alignment horizontal="center"/>
      <protection hidden="1"/>
    </xf>
    <xf numFmtId="167" fontId="0" fillId="0" borderId="1" xfId="1" applyNumberFormat="1" applyFont="1" applyBorder="1" applyProtection="1">
      <protection hidden="1"/>
    </xf>
    <xf numFmtId="0" fontId="0" fillId="0" borderId="1" xfId="0" applyFont="1" applyBorder="1" applyAlignment="1" applyProtection="1">
      <protection hidden="1"/>
    </xf>
    <xf numFmtId="43" fontId="0" fillId="0" borderId="1" xfId="0" applyNumberFormat="1" applyBorder="1" applyProtection="1">
      <protection hidden="1"/>
    </xf>
    <xf numFmtId="166" fontId="0" fillId="0" borderId="0" xfId="0" applyNumberFormat="1" applyBorder="1" applyProtection="1">
      <protection hidden="1"/>
    </xf>
    <xf numFmtId="43" fontId="0" fillId="0" borderId="1" xfId="1" applyNumberFormat="1" applyFont="1" applyBorder="1" applyAlignment="1" applyProtection="1">
      <protection hidden="1"/>
    </xf>
    <xf numFmtId="2" fontId="0" fillId="0" borderId="1" xfId="0" applyNumberFormat="1" applyBorder="1" applyProtection="1">
      <protection hidden="1"/>
    </xf>
    <xf numFmtId="165" fontId="0" fillId="0" borderId="1" xfId="0" applyNumberFormat="1" applyBorder="1" applyProtection="1">
      <protection hidden="1"/>
    </xf>
    <xf numFmtId="167" fontId="0" fillId="0" borderId="1" xfId="1" applyNumberFormat="1" applyFont="1" applyBorder="1" applyAlignment="1" applyProtection="1">
      <alignment horizontal="center"/>
      <protection hidden="1"/>
    </xf>
    <xf numFmtId="166" fontId="0" fillId="0" borderId="1" xfId="0" applyNumberFormat="1" applyBorder="1" applyProtection="1">
      <protection hidden="1"/>
    </xf>
    <xf numFmtId="43" fontId="0" fillId="0" borderId="1" xfId="1" applyNumberFormat="1" applyFont="1" applyBorder="1" applyProtection="1">
      <protection hidden="1"/>
    </xf>
    <xf numFmtId="0" fontId="9" fillId="0" borderId="1" xfId="0" applyFont="1" applyFill="1" applyBorder="1" applyProtection="1">
      <protection hidden="1"/>
    </xf>
    <xf numFmtId="0" fontId="9" fillId="0" borderId="1" xfId="0" applyFont="1" applyFill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0" fillId="0" borderId="1" xfId="0" applyFill="1" applyBorder="1" applyProtection="1">
      <protection hidden="1"/>
    </xf>
    <xf numFmtId="43" fontId="0" fillId="0" borderId="1" xfId="1" applyFont="1" applyBorder="1" applyAlignment="1" applyProtection="1">
      <alignment horizontal="center"/>
      <protection hidden="1"/>
    </xf>
    <xf numFmtId="0" fontId="2" fillId="0" borderId="1" xfId="0" applyFont="1" applyFill="1" applyBorder="1" applyProtection="1">
      <protection hidden="1"/>
    </xf>
    <xf numFmtId="43" fontId="0" fillId="0" borderId="1" xfId="1" applyFont="1" applyBorder="1" applyProtection="1">
      <protection hidden="1"/>
    </xf>
    <xf numFmtId="0" fontId="9" fillId="0" borderId="1" xfId="0" applyFont="1" applyBorder="1" applyProtection="1">
      <protection hidden="1"/>
    </xf>
    <xf numFmtId="0" fontId="2" fillId="0" borderId="1" xfId="0" applyFont="1" applyFill="1" applyBorder="1" applyAlignment="1" applyProtection="1">
      <alignment horizontal="center"/>
      <protection hidden="1"/>
    </xf>
    <xf numFmtId="0" fontId="2" fillId="0" borderId="5" xfId="0" applyFont="1" applyBorder="1" applyAlignment="1" applyProtection="1">
      <alignment horizontal="center"/>
      <protection hidden="1"/>
    </xf>
    <xf numFmtId="0" fontId="0" fillId="0" borderId="6" xfId="0" applyBorder="1" applyProtection="1">
      <protection hidden="1"/>
    </xf>
    <xf numFmtId="165" fontId="0" fillId="0" borderId="0" xfId="1" applyNumberFormat="1" applyFont="1" applyAlignment="1" applyProtection="1">
      <alignment horizontal="center"/>
      <protection hidden="1"/>
    </xf>
    <xf numFmtId="10" fontId="0" fillId="0" borderId="0" xfId="2" applyNumberFormat="1" applyFont="1" applyAlignment="1" applyProtection="1">
      <alignment horizontal="center"/>
      <protection hidden="1"/>
    </xf>
    <xf numFmtId="165" fontId="0" fillId="0" borderId="0" xfId="0" applyNumberFormat="1" applyAlignment="1" applyProtection="1">
      <alignment horizontal="center"/>
      <protection hidden="1"/>
    </xf>
    <xf numFmtId="43" fontId="0" fillId="0" borderId="0" xfId="0" applyNumberFormat="1" applyAlignment="1" applyProtection="1">
      <alignment horizontal="center"/>
      <protection hidden="1"/>
    </xf>
    <xf numFmtId="165" fontId="0" fillId="3" borderId="1" xfId="1" applyNumberFormat="1" applyFont="1" applyFill="1" applyBorder="1" applyProtection="1">
      <protection locked="0"/>
    </xf>
    <xf numFmtId="165" fontId="0" fillId="4" borderId="1" xfId="1" applyNumberFormat="1" applyFont="1" applyFill="1" applyBorder="1" applyProtection="1">
      <protection hidden="1"/>
    </xf>
    <xf numFmtId="43" fontId="0" fillId="3" borderId="0" xfId="1" applyFont="1" applyFill="1" applyProtection="1">
      <protection locked="0"/>
    </xf>
    <xf numFmtId="165" fontId="0" fillId="3" borderId="0" xfId="1" applyNumberFormat="1" applyFont="1" applyFill="1" applyProtection="1">
      <protection locked="0"/>
    </xf>
    <xf numFmtId="165" fontId="0" fillId="3" borderId="0" xfId="1" applyNumberFormat="1" applyFont="1" applyFill="1" applyAlignment="1" applyProtection="1">
      <protection locked="0"/>
    </xf>
    <xf numFmtId="43" fontId="0" fillId="3" borderId="0" xfId="1" applyNumberFormat="1" applyFont="1" applyFill="1" applyAlignment="1" applyProtection="1">
      <protection locked="0"/>
    </xf>
    <xf numFmtId="166" fontId="0" fillId="3" borderId="0" xfId="2" applyNumberFormat="1" applyFont="1" applyFill="1" applyAlignment="1" applyProtection="1">
      <protection locked="0"/>
    </xf>
    <xf numFmtId="165" fontId="0" fillId="3" borderId="1" xfId="1" applyNumberFormat="1" applyFont="1" applyFill="1" applyBorder="1" applyAlignment="1" applyProtection="1">
      <alignment horizontal="center"/>
      <protection locked="0"/>
    </xf>
    <xf numFmtId="165" fontId="0" fillId="0" borderId="1" xfId="1" applyNumberFormat="1" applyFont="1" applyBorder="1" applyAlignment="1" applyProtection="1">
      <alignment horizontal="center"/>
    </xf>
    <xf numFmtId="15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5" fontId="0" fillId="3" borderId="1" xfId="0" applyNumberFormat="1" applyFill="1" applyBorder="1" applyAlignment="1" applyProtection="1">
      <alignment vertical="center" wrapText="1"/>
      <protection locked="0"/>
    </xf>
    <xf numFmtId="4" fontId="0" fillId="3" borderId="1" xfId="0" applyNumberFormat="1" applyFill="1" applyBorder="1" applyAlignment="1" applyProtection="1">
      <alignment vertical="center" wrapText="1"/>
      <protection locked="0"/>
    </xf>
    <xf numFmtId="4" fontId="0" fillId="3" borderId="1" xfId="0" applyNumberFormat="1" applyFill="1" applyBorder="1" applyProtection="1">
      <protection locked="0"/>
    </xf>
    <xf numFmtId="165" fontId="0" fillId="3" borderId="1" xfId="1" applyNumberFormat="1" applyFon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43" fontId="0" fillId="3" borderId="1" xfId="1" applyNumberFormat="1" applyFont="1" applyFill="1" applyBorder="1" applyAlignment="1" applyProtection="1">
      <protection locked="0"/>
    </xf>
    <xf numFmtId="43" fontId="0" fillId="3" borderId="1" xfId="1" applyNumberFormat="1" applyFont="1" applyFill="1" applyBorder="1" applyProtection="1">
      <protection locked="0"/>
    </xf>
    <xf numFmtId="43" fontId="0" fillId="3" borderId="1" xfId="1" applyFont="1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hidden="1"/>
    </xf>
    <xf numFmtId="43" fontId="0" fillId="0" borderId="0" xfId="1" applyFont="1" applyBorder="1" applyAlignment="1" applyProtection="1">
      <alignment horizontal="center"/>
      <protection hidden="1"/>
    </xf>
    <xf numFmtId="10" fontId="0" fillId="0" borderId="0" xfId="2" applyNumberFormat="1" applyFont="1" applyBorder="1" applyAlignment="1" applyProtection="1">
      <alignment horizontal="center"/>
      <protection hidden="1"/>
    </xf>
    <xf numFmtId="10" fontId="2" fillId="0" borderId="0" xfId="2" applyNumberFormat="1" applyFont="1" applyBorder="1" applyAlignment="1" applyProtection="1">
      <alignment horizontal="center"/>
      <protection hidden="1"/>
    </xf>
    <xf numFmtId="2" fontId="0" fillId="3" borderId="0" xfId="2" applyNumberFormat="1" applyFont="1" applyFill="1" applyAlignment="1" applyProtection="1">
      <alignment horizontal="center"/>
      <protection locked="0"/>
    </xf>
    <xf numFmtId="2" fontId="0" fillId="0" borderId="0" xfId="2" applyNumberFormat="1" applyFont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/>
      <protection locked="0"/>
    </xf>
    <xf numFmtId="10" fontId="2" fillId="3" borderId="1" xfId="2" applyNumberFormat="1" applyFont="1" applyFill="1" applyBorder="1" applyAlignment="1" applyProtection="1">
      <alignment horizontal="center"/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workbookViewId="0">
      <selection activeCell="B4" sqref="B4"/>
    </sheetView>
  </sheetViews>
  <sheetFormatPr defaultRowHeight="15" x14ac:dyDescent="0.25"/>
  <cols>
    <col min="1" max="1" width="38" style="4" bestFit="1" customWidth="1"/>
    <col min="2" max="2" width="22.85546875" style="4" bestFit="1" customWidth="1"/>
    <col min="3" max="3" width="38" style="4" bestFit="1" customWidth="1"/>
    <col min="4" max="16384" width="9.140625" style="4"/>
  </cols>
  <sheetData>
    <row r="1" spans="1:2" ht="15.75" x14ac:dyDescent="0.25">
      <c r="A1" s="2" t="s">
        <v>0</v>
      </c>
      <c r="B1" s="3" t="s">
        <v>43</v>
      </c>
    </row>
    <row r="2" spans="1:2" ht="15.75" x14ac:dyDescent="0.25">
      <c r="A2" s="3" t="s">
        <v>1</v>
      </c>
      <c r="B2" s="5"/>
    </row>
    <row r="3" spans="1:2" x14ac:dyDescent="0.25">
      <c r="A3" s="6" t="s">
        <v>2</v>
      </c>
      <c r="B3" s="5"/>
    </row>
    <row r="4" spans="1:2" x14ac:dyDescent="0.25">
      <c r="A4" s="5" t="s">
        <v>31</v>
      </c>
      <c r="B4" s="112">
        <v>100000</v>
      </c>
    </row>
    <row r="5" spans="1:2" x14ac:dyDescent="0.25">
      <c r="A5" s="5" t="s">
        <v>275</v>
      </c>
      <c r="B5" s="112">
        <v>50000</v>
      </c>
    </row>
    <row r="6" spans="1:2" x14ac:dyDescent="0.25">
      <c r="A6" s="5" t="s">
        <v>3</v>
      </c>
      <c r="B6" s="112">
        <v>50000</v>
      </c>
    </row>
    <row r="7" spans="1:2" x14ac:dyDescent="0.25">
      <c r="A7" s="5" t="s">
        <v>11</v>
      </c>
      <c r="B7" s="112">
        <v>100000</v>
      </c>
    </row>
    <row r="8" spans="1:2" x14ac:dyDescent="0.25">
      <c r="A8" s="5" t="s">
        <v>35</v>
      </c>
      <c r="B8" s="112">
        <v>100000</v>
      </c>
    </row>
    <row r="9" spans="1:2" x14ac:dyDescent="0.25">
      <c r="A9" s="5" t="s">
        <v>36</v>
      </c>
      <c r="B9" s="112">
        <v>100000</v>
      </c>
    </row>
    <row r="10" spans="1:2" x14ac:dyDescent="0.25">
      <c r="A10" s="5" t="s">
        <v>4</v>
      </c>
      <c r="B10" s="112">
        <v>100000</v>
      </c>
    </row>
    <row r="11" spans="1:2" x14ac:dyDescent="0.25">
      <c r="A11" s="5" t="s">
        <v>5</v>
      </c>
      <c r="B11" s="112">
        <v>100000</v>
      </c>
    </row>
    <row r="12" spans="1:2" x14ac:dyDescent="0.25">
      <c r="A12" s="5" t="s">
        <v>6</v>
      </c>
      <c r="B12" s="112">
        <v>10000</v>
      </c>
    </row>
    <row r="13" spans="1:2" x14ac:dyDescent="0.25">
      <c r="A13" s="6" t="s">
        <v>39</v>
      </c>
      <c r="B13" s="7">
        <f>SUM(B4:B12)</f>
        <v>710000</v>
      </c>
    </row>
    <row r="14" spans="1:2" x14ac:dyDescent="0.25">
      <c r="A14" s="6" t="s">
        <v>7</v>
      </c>
      <c r="B14" s="7"/>
    </row>
    <row r="15" spans="1:2" x14ac:dyDescent="0.25">
      <c r="A15" s="5" t="s">
        <v>8</v>
      </c>
      <c r="B15" s="112">
        <v>300000</v>
      </c>
    </row>
    <row r="16" spans="1:2" x14ac:dyDescent="0.25">
      <c r="A16" s="5" t="s">
        <v>9</v>
      </c>
      <c r="B16" s="112">
        <v>200000</v>
      </c>
    </row>
    <row r="17" spans="1:2" x14ac:dyDescent="0.25">
      <c r="A17" s="5" t="s">
        <v>10</v>
      </c>
      <c r="B17" s="112">
        <v>100000</v>
      </c>
    </row>
    <row r="18" spans="1:2" x14ac:dyDescent="0.25">
      <c r="A18" s="5" t="s">
        <v>12</v>
      </c>
      <c r="B18" s="112">
        <v>100000</v>
      </c>
    </row>
    <row r="19" spans="1:2" x14ac:dyDescent="0.25">
      <c r="A19" s="5" t="s">
        <v>33</v>
      </c>
      <c r="B19" s="112">
        <v>100000</v>
      </c>
    </row>
    <row r="20" spans="1:2" x14ac:dyDescent="0.25">
      <c r="A20" s="5" t="s">
        <v>34</v>
      </c>
      <c r="B20" s="112">
        <v>25000</v>
      </c>
    </row>
    <row r="21" spans="1:2" x14ac:dyDescent="0.25">
      <c r="A21" s="5" t="s">
        <v>32</v>
      </c>
      <c r="B21" s="112">
        <v>25000</v>
      </c>
    </row>
    <row r="22" spans="1:2" x14ac:dyDescent="0.25">
      <c r="A22" s="5" t="s">
        <v>13</v>
      </c>
      <c r="B22" s="112">
        <v>10000</v>
      </c>
    </row>
    <row r="23" spans="1:2" x14ac:dyDescent="0.25">
      <c r="A23" s="6" t="s">
        <v>40</v>
      </c>
      <c r="B23" s="7">
        <f>SUM(B15:B22)</f>
        <v>860000</v>
      </c>
    </row>
    <row r="24" spans="1:2" ht="15.75" x14ac:dyDescent="0.25">
      <c r="A24" s="8" t="s">
        <v>14</v>
      </c>
      <c r="B24" s="7">
        <f>B13+B23</f>
        <v>1570000</v>
      </c>
    </row>
    <row r="25" spans="1:2" ht="15.75" x14ac:dyDescent="0.25">
      <c r="A25" s="3" t="s">
        <v>15</v>
      </c>
      <c r="B25" s="7"/>
    </row>
    <row r="26" spans="1:2" x14ac:dyDescent="0.25">
      <c r="A26" s="6" t="s">
        <v>16</v>
      </c>
      <c r="B26" s="7"/>
    </row>
    <row r="27" spans="1:2" x14ac:dyDescent="0.25">
      <c r="A27" s="5" t="s">
        <v>17</v>
      </c>
      <c r="B27" s="112">
        <v>50000</v>
      </c>
    </row>
    <row r="28" spans="1:2" x14ac:dyDescent="0.25">
      <c r="A28" s="5" t="s">
        <v>18</v>
      </c>
      <c r="B28" s="112">
        <v>100000</v>
      </c>
    </row>
    <row r="29" spans="1:2" x14ac:dyDescent="0.25">
      <c r="A29" s="5" t="s">
        <v>30</v>
      </c>
      <c r="B29" s="112">
        <v>100000</v>
      </c>
    </row>
    <row r="30" spans="1:2" x14ac:dyDescent="0.25">
      <c r="A30" s="5" t="s">
        <v>19</v>
      </c>
      <c r="B30" s="112">
        <v>100000</v>
      </c>
    </row>
    <row r="31" spans="1:2" x14ac:dyDescent="0.25">
      <c r="A31" s="5" t="s">
        <v>20</v>
      </c>
      <c r="B31" s="112">
        <v>100000</v>
      </c>
    </row>
    <row r="32" spans="1:2" x14ac:dyDescent="0.25">
      <c r="A32" s="5" t="s">
        <v>21</v>
      </c>
      <c r="B32" s="112">
        <v>10000</v>
      </c>
    </row>
    <row r="33" spans="1:2" x14ac:dyDescent="0.25">
      <c r="A33" s="6" t="s">
        <v>41</v>
      </c>
      <c r="B33" s="7">
        <f>SUM(B27:B32)</f>
        <v>460000</v>
      </c>
    </row>
    <row r="34" spans="1:2" x14ac:dyDescent="0.25">
      <c r="A34" s="6" t="s">
        <v>22</v>
      </c>
      <c r="B34" s="7"/>
    </row>
    <row r="35" spans="1:2" x14ac:dyDescent="0.25">
      <c r="A35" s="5" t="s">
        <v>23</v>
      </c>
      <c r="B35" s="112">
        <v>200000</v>
      </c>
    </row>
    <row r="36" spans="1:2" x14ac:dyDescent="0.25">
      <c r="A36" s="5" t="s">
        <v>24</v>
      </c>
      <c r="B36" s="112">
        <v>100000</v>
      </c>
    </row>
    <row r="37" spans="1:2" x14ac:dyDescent="0.25">
      <c r="A37" s="5" t="s">
        <v>25</v>
      </c>
      <c r="B37" s="112">
        <v>10000</v>
      </c>
    </row>
    <row r="38" spans="1:2" x14ac:dyDescent="0.25">
      <c r="A38" s="6" t="s">
        <v>88</v>
      </c>
      <c r="B38" s="7">
        <f>SUM(B35:B37)</f>
        <v>310000</v>
      </c>
    </row>
    <row r="39" spans="1:2" ht="15.75" x14ac:dyDescent="0.25">
      <c r="A39" s="8" t="s">
        <v>89</v>
      </c>
      <c r="B39" s="7">
        <f>B38+B33</f>
        <v>770000</v>
      </c>
    </row>
    <row r="40" spans="1:2" x14ac:dyDescent="0.25">
      <c r="A40" s="6" t="s">
        <v>26</v>
      </c>
      <c r="B40" s="7"/>
    </row>
    <row r="41" spans="1:2" x14ac:dyDescent="0.25">
      <c r="A41" s="5" t="s">
        <v>27</v>
      </c>
      <c r="B41" s="112">
        <v>600000</v>
      </c>
    </row>
    <row r="42" spans="1:2" x14ac:dyDescent="0.25">
      <c r="A42" s="5" t="s">
        <v>28</v>
      </c>
      <c r="B42" s="112">
        <v>150000</v>
      </c>
    </row>
    <row r="43" spans="1:2" x14ac:dyDescent="0.25">
      <c r="A43" s="5" t="s">
        <v>29</v>
      </c>
      <c r="B43" s="112">
        <v>50000</v>
      </c>
    </row>
    <row r="44" spans="1:2" x14ac:dyDescent="0.25">
      <c r="A44" s="6" t="s">
        <v>42</v>
      </c>
      <c r="B44" s="7">
        <f>SUM(B41:B43)</f>
        <v>800000</v>
      </c>
    </row>
    <row r="45" spans="1:2" ht="15.75" x14ac:dyDescent="0.25">
      <c r="A45" s="8" t="s">
        <v>38</v>
      </c>
      <c r="B45" s="7">
        <f>B39+B44</f>
        <v>1570000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4:B12 B15:B22 B27:B32 B35:B37 B41:B43">
      <formula1>0</formula1>
      <formula2>1000000000000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2" sqref="B2"/>
    </sheetView>
  </sheetViews>
  <sheetFormatPr defaultRowHeight="15" x14ac:dyDescent="0.25"/>
  <cols>
    <col min="1" max="1" width="39.5703125" style="4" bestFit="1" customWidth="1"/>
    <col min="2" max="2" width="22.85546875" style="4" bestFit="1" customWidth="1"/>
    <col min="3" max="16384" width="9.140625" style="4"/>
  </cols>
  <sheetData>
    <row r="1" spans="1:2" ht="15.75" x14ac:dyDescent="0.25">
      <c r="A1" s="2" t="s">
        <v>44</v>
      </c>
      <c r="B1" s="2" t="s">
        <v>43</v>
      </c>
    </row>
    <row r="2" spans="1:2" x14ac:dyDescent="0.25">
      <c r="A2" s="6" t="s">
        <v>55</v>
      </c>
      <c r="B2" s="112">
        <v>200000</v>
      </c>
    </row>
    <row r="3" spans="1:2" x14ac:dyDescent="0.25">
      <c r="A3" s="6" t="s">
        <v>45</v>
      </c>
      <c r="B3" s="112">
        <v>100000</v>
      </c>
    </row>
    <row r="4" spans="1:2" x14ac:dyDescent="0.25">
      <c r="A4" s="6" t="s">
        <v>56</v>
      </c>
      <c r="B4" s="113">
        <f>B2-B3</f>
        <v>100000</v>
      </c>
    </row>
    <row r="5" spans="1:2" x14ac:dyDescent="0.25">
      <c r="A5" s="6" t="s">
        <v>46</v>
      </c>
      <c r="B5" s="7"/>
    </row>
    <row r="6" spans="1:2" x14ac:dyDescent="0.25">
      <c r="A6" s="5" t="s">
        <v>47</v>
      </c>
      <c r="B6" s="112">
        <v>5000</v>
      </c>
    </row>
    <row r="7" spans="1:2" x14ac:dyDescent="0.25">
      <c r="A7" s="5" t="s">
        <v>273</v>
      </c>
      <c r="B7" s="112">
        <v>5000</v>
      </c>
    </row>
    <row r="8" spans="1:2" x14ac:dyDescent="0.25">
      <c r="A8" s="9" t="s">
        <v>274</v>
      </c>
      <c r="B8" s="112">
        <v>5000</v>
      </c>
    </row>
    <row r="9" spans="1:2" x14ac:dyDescent="0.25">
      <c r="A9" s="5" t="s">
        <v>49</v>
      </c>
      <c r="B9" s="112">
        <v>4000</v>
      </c>
    </row>
    <row r="10" spans="1:2" x14ac:dyDescent="0.25">
      <c r="A10" s="5" t="s">
        <v>51</v>
      </c>
      <c r="B10" s="112">
        <v>1000</v>
      </c>
    </row>
    <row r="11" spans="1:2" x14ac:dyDescent="0.25">
      <c r="A11" s="6" t="s">
        <v>57</v>
      </c>
      <c r="B11" s="7">
        <f>SUM(B6:B10)</f>
        <v>20000</v>
      </c>
    </row>
    <row r="12" spans="1:2" x14ac:dyDescent="0.25">
      <c r="A12" s="6" t="s">
        <v>54</v>
      </c>
      <c r="B12" s="7">
        <v>20000</v>
      </c>
    </row>
    <row r="13" spans="1:2" x14ac:dyDescent="0.25">
      <c r="A13" s="6" t="s">
        <v>58</v>
      </c>
      <c r="B13" s="7">
        <f>B4-B11+B12</f>
        <v>100000</v>
      </c>
    </row>
    <row r="14" spans="1:2" x14ac:dyDescent="0.25">
      <c r="A14" s="6" t="s">
        <v>52</v>
      </c>
      <c r="B14" s="112">
        <v>20000</v>
      </c>
    </row>
    <row r="15" spans="1:2" x14ac:dyDescent="0.25">
      <c r="A15" s="6" t="s">
        <v>59</v>
      </c>
      <c r="B15" s="7">
        <f>B13-B14</f>
        <v>80000</v>
      </c>
    </row>
    <row r="16" spans="1:2" x14ac:dyDescent="0.25">
      <c r="A16" s="6" t="s">
        <v>60</v>
      </c>
      <c r="B16" s="112">
        <v>12000</v>
      </c>
    </row>
    <row r="17" spans="1:2" ht="15.75" x14ac:dyDescent="0.25">
      <c r="A17" s="8" t="s">
        <v>53</v>
      </c>
      <c r="B17" s="7">
        <f>B15-B16</f>
        <v>68000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2:B3 B6:B10 B14 B16">
      <formula1>0</formula1>
      <formula2>1000000000000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zoomScaleNormal="100" workbookViewId="0">
      <selection activeCell="B15" sqref="B15"/>
    </sheetView>
  </sheetViews>
  <sheetFormatPr defaultRowHeight="15" x14ac:dyDescent="0.25"/>
  <cols>
    <col min="1" max="1" width="33" style="4" bestFit="1" customWidth="1"/>
    <col min="2" max="2" width="15.28515625" style="11" bestFit="1" customWidth="1"/>
    <col min="3" max="16384" width="9.140625" style="4"/>
  </cols>
  <sheetData>
    <row r="1" spans="1:2" x14ac:dyDescent="0.25">
      <c r="A1" s="10" t="s">
        <v>61</v>
      </c>
    </row>
    <row r="2" spans="1:2" x14ac:dyDescent="0.25">
      <c r="A2" s="4" t="s">
        <v>62</v>
      </c>
      <c r="B2" s="11">
        <f>'Balance Sheet'!B4/'Balance Sheet'!B33</f>
        <v>0.21739130434782608</v>
      </c>
    </row>
    <row r="3" spans="1:2" x14ac:dyDescent="0.25">
      <c r="A3" s="4" t="s">
        <v>182</v>
      </c>
      <c r="B3" s="11">
        <f>('Price Multiples'!B6/1000)/'Balance Sheet'!B33</f>
        <v>0.10869565217391304</v>
      </c>
    </row>
    <row r="4" spans="1:2" x14ac:dyDescent="0.25">
      <c r="A4" s="4" t="s">
        <v>63</v>
      </c>
      <c r="B4" s="11">
        <f>'Balance Sheet'!B13/'Balance Sheet'!B33</f>
        <v>1.5434782608695652</v>
      </c>
    </row>
    <row r="5" spans="1:2" x14ac:dyDescent="0.25">
      <c r="A5" s="4" t="s">
        <v>64</v>
      </c>
      <c r="B5" s="11">
        <f>('Balance Sheet'!B13-'Balance Sheet'!B6)/'Balance Sheet'!B33</f>
        <v>1.4347826086956521</v>
      </c>
    </row>
    <row r="7" spans="1:2" x14ac:dyDescent="0.25">
      <c r="A7" s="10" t="s">
        <v>69</v>
      </c>
    </row>
    <row r="8" spans="1:2" x14ac:dyDescent="0.25">
      <c r="A8" s="4" t="s">
        <v>65</v>
      </c>
      <c r="B8" s="11">
        <f>'Balance Sheet'!B39/'Balance Sheet'!B44</f>
        <v>0.96250000000000002</v>
      </c>
    </row>
    <row r="9" spans="1:2" x14ac:dyDescent="0.25">
      <c r="A9" s="4" t="s">
        <v>66</v>
      </c>
      <c r="B9" s="11">
        <f>'Balance Sheet'!B39/'Balance Sheet'!B24</f>
        <v>0.49044585987261147</v>
      </c>
    </row>
    <row r="10" spans="1:2" x14ac:dyDescent="0.25">
      <c r="A10" s="4" t="s">
        <v>67</v>
      </c>
      <c r="B10" s="11">
        <f>'Income Statement'!B13/'Income Statement'!B14</f>
        <v>5</v>
      </c>
    </row>
    <row r="11" spans="1:2" x14ac:dyDescent="0.25">
      <c r="A11" s="4" t="s">
        <v>68</v>
      </c>
      <c r="B11" s="11">
        <f>('Income Statement'!B13+'Income Statement'!B8)/'Income Statement'!B14</f>
        <v>5.25</v>
      </c>
    </row>
    <row r="13" spans="1:2" x14ac:dyDescent="0.25">
      <c r="A13" s="10" t="s">
        <v>186</v>
      </c>
    </row>
    <row r="14" spans="1:2" x14ac:dyDescent="0.25">
      <c r="A14" s="12" t="s">
        <v>187</v>
      </c>
      <c r="B14" s="11">
        <f>'Income Statement'!B2</f>
        <v>200000</v>
      </c>
    </row>
    <row r="15" spans="1:2" x14ac:dyDescent="0.25">
      <c r="A15" s="13" t="s">
        <v>188</v>
      </c>
      <c r="B15" s="114">
        <v>180000</v>
      </c>
    </row>
    <row r="16" spans="1:2" x14ac:dyDescent="0.25">
      <c r="A16" s="12" t="s">
        <v>191</v>
      </c>
      <c r="B16" s="14">
        <f>(B14-B15)/B15</f>
        <v>0.1111111111111111</v>
      </c>
    </row>
    <row r="17" spans="1:2" x14ac:dyDescent="0.25">
      <c r="A17" s="12" t="s">
        <v>189</v>
      </c>
      <c r="B17" s="11">
        <f>'Income Statement'!B13</f>
        <v>100000</v>
      </c>
    </row>
    <row r="18" spans="1:2" x14ac:dyDescent="0.25">
      <c r="A18" s="12" t="s">
        <v>190</v>
      </c>
      <c r="B18" s="114">
        <v>60000</v>
      </c>
    </row>
    <row r="19" spans="1:2" x14ac:dyDescent="0.25">
      <c r="A19" s="12" t="s">
        <v>192</v>
      </c>
      <c r="B19" s="14">
        <f>(B17-B18)/B18</f>
        <v>0.66666666666666663</v>
      </c>
    </row>
    <row r="20" spans="1:2" x14ac:dyDescent="0.25">
      <c r="A20" s="12"/>
    </row>
    <row r="21" spans="1:2" x14ac:dyDescent="0.25">
      <c r="A21" s="12" t="s">
        <v>186</v>
      </c>
      <c r="B21" s="15">
        <f>B19/B16</f>
        <v>6</v>
      </c>
    </row>
    <row r="23" spans="1:2" x14ac:dyDescent="0.25">
      <c r="A23" s="10" t="s">
        <v>193</v>
      </c>
    </row>
    <row r="24" spans="1:2" x14ac:dyDescent="0.25">
      <c r="A24" s="12" t="s">
        <v>194</v>
      </c>
      <c r="B24" s="11">
        <f>'Income Statement'!B17</f>
        <v>68000</v>
      </c>
    </row>
    <row r="25" spans="1:2" x14ac:dyDescent="0.25">
      <c r="A25" s="12" t="s">
        <v>195</v>
      </c>
      <c r="B25" s="11">
        <v>25000</v>
      </c>
    </row>
    <row r="26" spans="1:2" x14ac:dyDescent="0.25">
      <c r="A26" s="12" t="s">
        <v>196</v>
      </c>
      <c r="B26" s="14">
        <f>(B24-B25)/B25</f>
        <v>1.72</v>
      </c>
    </row>
    <row r="27" spans="1:2" x14ac:dyDescent="0.25">
      <c r="A27" s="12"/>
    </row>
    <row r="28" spans="1:2" x14ac:dyDescent="0.25">
      <c r="A28" s="12" t="s">
        <v>193</v>
      </c>
      <c r="B28" s="11">
        <f>B26/B19</f>
        <v>2.58</v>
      </c>
    </row>
    <row r="29" spans="1:2" x14ac:dyDescent="0.25">
      <c r="A29" s="12"/>
    </row>
    <row r="30" spans="1:2" x14ac:dyDescent="0.25">
      <c r="A30" s="12" t="s">
        <v>197</v>
      </c>
      <c r="B30" s="16">
        <f>B26/B16</f>
        <v>15.48</v>
      </c>
    </row>
    <row r="32" spans="1:2" x14ac:dyDescent="0.25">
      <c r="A32" s="10" t="s">
        <v>70</v>
      </c>
    </row>
    <row r="33" spans="1:2" x14ac:dyDescent="0.25">
      <c r="A33" s="4" t="s">
        <v>71</v>
      </c>
      <c r="B33" s="11">
        <f>'Income Statement'!B4/'Income Statement'!B2</f>
        <v>0.5</v>
      </c>
    </row>
    <row r="34" spans="1:2" x14ac:dyDescent="0.25">
      <c r="A34" s="4" t="s">
        <v>201</v>
      </c>
      <c r="B34" s="11">
        <f>'Income Statement'!B11/'Income Statement'!B2</f>
        <v>0.1</v>
      </c>
    </row>
    <row r="35" spans="1:2" x14ac:dyDescent="0.25">
      <c r="A35" s="4" t="s">
        <v>72</v>
      </c>
      <c r="B35" s="11">
        <f>'Income Statement'!B13/'Income Statement'!B2</f>
        <v>0.5</v>
      </c>
    </row>
    <row r="36" spans="1:2" x14ac:dyDescent="0.25">
      <c r="A36" s="4" t="s">
        <v>73</v>
      </c>
      <c r="B36" s="11">
        <f>'Income Statement'!B17/'Income Statement'!B2</f>
        <v>0.34</v>
      </c>
    </row>
    <row r="37" spans="1:2" x14ac:dyDescent="0.25">
      <c r="A37" s="4" t="s">
        <v>74</v>
      </c>
      <c r="B37" s="11">
        <f>'Income Statement'!B17/'Balance Sheet'!B24</f>
        <v>4.3312101910828023E-2</v>
      </c>
    </row>
    <row r="38" spans="1:2" x14ac:dyDescent="0.25">
      <c r="A38" s="4" t="s">
        <v>75</v>
      </c>
      <c r="B38" s="11">
        <f>'Income Statement'!B17/'Balance Sheet'!B44</f>
        <v>8.5000000000000006E-2</v>
      </c>
    </row>
    <row r="39" spans="1:2" x14ac:dyDescent="0.25">
      <c r="A39" s="4" t="s">
        <v>76</v>
      </c>
      <c r="B39" s="11">
        <f>'Income Statement'!B13/('Balance Sheet'!B24-'Balance Sheet'!B33)</f>
        <v>9.0090090090090086E-2</v>
      </c>
    </row>
    <row r="40" spans="1:2" x14ac:dyDescent="0.25">
      <c r="A40" s="4" t="s">
        <v>184</v>
      </c>
      <c r="B40" s="11">
        <f>'Income Statement'!B2/('Balance Sheet'!B24-'Balance Sheet'!B33)</f>
        <v>0.18018018018018017</v>
      </c>
    </row>
    <row r="41" spans="1:2" x14ac:dyDescent="0.25">
      <c r="A41" s="4" t="s">
        <v>185</v>
      </c>
      <c r="B41" s="11">
        <f>'Income Statement'!B2/('Balance Sheet'!B13-'Balance Sheet'!B33)</f>
        <v>0.8</v>
      </c>
    </row>
    <row r="42" spans="1:2" x14ac:dyDescent="0.25">
      <c r="A42" s="4" t="s">
        <v>198</v>
      </c>
      <c r="B42" s="11">
        <f>('Income Statement'!B17+'Income Statement'!B8)/'Balance Sheet'!B24</f>
        <v>4.64968152866242E-2</v>
      </c>
    </row>
    <row r="43" spans="1:2" x14ac:dyDescent="0.25">
      <c r="A43" s="4" t="s">
        <v>199</v>
      </c>
      <c r="B43" s="11">
        <f>('Price Multiples'!B6/1000)/'Income Statement'!B17</f>
        <v>0.73529411764705888</v>
      </c>
    </row>
    <row r="45" spans="1:2" x14ac:dyDescent="0.25">
      <c r="A45" s="10" t="s">
        <v>77</v>
      </c>
    </row>
    <row r="46" spans="1:2" x14ac:dyDescent="0.25">
      <c r="A46" s="4" t="s">
        <v>78</v>
      </c>
      <c r="B46" s="11">
        <f>'Income Statement'!B2/'Balance Sheet'!B23</f>
        <v>0.23255813953488372</v>
      </c>
    </row>
    <row r="47" spans="1:2" x14ac:dyDescent="0.25">
      <c r="A47" s="4" t="s">
        <v>79</v>
      </c>
      <c r="B47" s="11">
        <f>'Income Statement'!B2/'Balance Sheet'!B24</f>
        <v>0.12738853503184713</v>
      </c>
    </row>
    <row r="48" spans="1:2" x14ac:dyDescent="0.25">
      <c r="A48" s="4" t="s">
        <v>184</v>
      </c>
      <c r="B48" s="11">
        <f>'Income Statement'!B3/('Balance Sheet'!B24-'Balance Sheet'!B33)</f>
        <v>9.0090090090090086E-2</v>
      </c>
    </row>
    <row r="50" spans="1:2" x14ac:dyDescent="0.25">
      <c r="A50" s="10" t="s">
        <v>80</v>
      </c>
    </row>
    <row r="51" spans="1:2" x14ac:dyDescent="0.25">
      <c r="A51" s="4" t="s">
        <v>81</v>
      </c>
      <c r="B51" s="11">
        <f>'Balance Sheet'!B24/'Balance Sheet'!B44</f>
        <v>1.9624999999999999</v>
      </c>
    </row>
    <row r="52" spans="1:2" x14ac:dyDescent="0.25">
      <c r="A52" s="4" t="s">
        <v>79</v>
      </c>
      <c r="B52" s="11">
        <f>'Income Statement'!B2/'Balance Sheet'!B24</f>
        <v>0.12738853503184713</v>
      </c>
    </row>
    <row r="53" spans="1:2" x14ac:dyDescent="0.25">
      <c r="A53" s="4" t="s">
        <v>73</v>
      </c>
      <c r="B53" s="11">
        <f>'Income Statement'!B17/'Income Statement'!B2</f>
        <v>0.34</v>
      </c>
    </row>
    <row r="54" spans="1:2" x14ac:dyDescent="0.25">
      <c r="A54" s="4" t="s">
        <v>75</v>
      </c>
      <c r="B54" s="11">
        <f>B51*B52*B53</f>
        <v>8.5000000000000006E-2</v>
      </c>
    </row>
    <row r="56" spans="1:2" x14ac:dyDescent="0.25">
      <c r="A56" s="10" t="s">
        <v>170</v>
      </c>
    </row>
    <row r="57" spans="1:2" x14ac:dyDescent="0.25">
      <c r="A57" s="4" t="s">
        <v>171</v>
      </c>
      <c r="B57" s="17">
        <f>'Balance Sheet'!B6</f>
        <v>50000</v>
      </c>
    </row>
    <row r="58" spans="1:2" x14ac:dyDescent="0.25">
      <c r="A58" s="4" t="s">
        <v>172</v>
      </c>
      <c r="B58" s="115">
        <v>50000</v>
      </c>
    </row>
    <row r="59" spans="1:2" x14ac:dyDescent="0.25">
      <c r="A59" s="4" t="s">
        <v>173</v>
      </c>
      <c r="B59" s="11">
        <f>'Income Statement'!B3</f>
        <v>100000</v>
      </c>
    </row>
    <row r="60" spans="1:2" x14ac:dyDescent="0.25">
      <c r="A60" s="4" t="s">
        <v>170</v>
      </c>
      <c r="B60" s="11">
        <f>B57-B58+B59</f>
        <v>100000</v>
      </c>
    </row>
    <row r="62" spans="1:2" x14ac:dyDescent="0.25">
      <c r="A62" s="10" t="s">
        <v>82</v>
      </c>
    </row>
    <row r="63" spans="1:2" x14ac:dyDescent="0.25">
      <c r="A63" s="4" t="s">
        <v>83</v>
      </c>
      <c r="B63" s="11">
        <f>'Income Statement'!B3/'Balance Sheet'!B6</f>
        <v>2</v>
      </c>
    </row>
    <row r="64" spans="1:2" x14ac:dyDescent="0.25">
      <c r="A64" s="4" t="s">
        <v>86</v>
      </c>
      <c r="B64" s="11">
        <f>365/B63</f>
        <v>182.5</v>
      </c>
    </row>
    <row r="65" spans="1:2" x14ac:dyDescent="0.25">
      <c r="A65" s="4" t="s">
        <v>84</v>
      </c>
      <c r="B65" s="11">
        <f>'Income Statement'!B2/'Balance Sheet'!B5</f>
        <v>4</v>
      </c>
    </row>
    <row r="66" spans="1:2" x14ac:dyDescent="0.25">
      <c r="A66" s="4" t="s">
        <v>85</v>
      </c>
      <c r="B66" s="11">
        <f>365/B65</f>
        <v>91.25</v>
      </c>
    </row>
    <row r="67" spans="1:2" x14ac:dyDescent="0.25">
      <c r="A67" s="4" t="s">
        <v>174</v>
      </c>
      <c r="B67" s="11">
        <f>B60/'Balance Sheet'!B27</f>
        <v>2</v>
      </c>
    </row>
    <row r="68" spans="1:2" x14ac:dyDescent="0.25">
      <c r="A68" s="4" t="s">
        <v>175</v>
      </c>
      <c r="B68" s="11">
        <f>365/B67</f>
        <v>182.5</v>
      </c>
    </row>
    <row r="70" spans="1:2" x14ac:dyDescent="0.25">
      <c r="A70" s="10" t="s">
        <v>176</v>
      </c>
    </row>
    <row r="71" spans="1:2" x14ac:dyDescent="0.25">
      <c r="A71" s="4" t="s">
        <v>177</v>
      </c>
      <c r="B71" s="11">
        <f>B64+B66</f>
        <v>273.75</v>
      </c>
    </row>
    <row r="72" spans="1:2" x14ac:dyDescent="0.25">
      <c r="A72" s="4" t="s">
        <v>87</v>
      </c>
      <c r="B72" s="11">
        <f>B64+B66-B68</f>
        <v>91.25</v>
      </c>
    </row>
    <row r="73" spans="1:2" x14ac:dyDescent="0.25">
      <c r="A73" s="10"/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15 B18 B58">
      <formula1>0</formula1>
      <formula2>1000000000</formula2>
    </dataValidation>
  </dataValidations>
  <pageMargins left="0.7" right="0.7" top="0.75" bottom="0.75" header="0.3" footer="0.3"/>
  <ignoredErrors>
    <ignoredError sqref="B6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workbookViewId="0">
      <selection activeCell="B2" sqref="B2"/>
    </sheetView>
  </sheetViews>
  <sheetFormatPr defaultRowHeight="15" x14ac:dyDescent="0.25"/>
  <cols>
    <col min="1" max="1" width="38.85546875" style="4" bestFit="1" customWidth="1"/>
    <col min="2" max="2" width="19" style="23" bestFit="1" customWidth="1"/>
    <col min="3" max="16384" width="9.140625" style="4"/>
  </cols>
  <sheetData>
    <row r="1" spans="1:4" x14ac:dyDescent="0.25">
      <c r="A1" s="10" t="s">
        <v>101</v>
      </c>
      <c r="B1" s="18" t="s">
        <v>102</v>
      </c>
    </row>
    <row r="2" spans="1:4" x14ac:dyDescent="0.25">
      <c r="A2" s="4" t="s">
        <v>91</v>
      </c>
      <c r="B2" s="116">
        <v>20</v>
      </c>
    </row>
    <row r="3" spans="1:4" x14ac:dyDescent="0.25">
      <c r="A3" s="4" t="s">
        <v>90</v>
      </c>
      <c r="B3" s="116">
        <v>60000000</v>
      </c>
    </row>
    <row r="4" spans="1:4" x14ac:dyDescent="0.25">
      <c r="A4" s="4" t="s">
        <v>55</v>
      </c>
      <c r="B4" s="19">
        <f>'Income Statement'!B2*1000</f>
        <v>200000000</v>
      </c>
    </row>
    <row r="5" spans="1:4" x14ac:dyDescent="0.25">
      <c r="A5" s="4" t="s">
        <v>53</v>
      </c>
      <c r="B5" s="19">
        <f>'Income Statement'!B17*1000</f>
        <v>68000000</v>
      </c>
    </row>
    <row r="6" spans="1:4" x14ac:dyDescent="0.25">
      <c r="A6" s="4" t="s">
        <v>99</v>
      </c>
      <c r="B6" s="116">
        <v>50000000</v>
      </c>
    </row>
    <row r="7" spans="1:4" x14ac:dyDescent="0.25">
      <c r="A7" s="4" t="s">
        <v>14</v>
      </c>
      <c r="B7" s="19">
        <f>'Balance Sheet'!B24*1000</f>
        <v>1570000000</v>
      </c>
    </row>
    <row r="8" spans="1:4" x14ac:dyDescent="0.25">
      <c r="A8" s="4" t="s">
        <v>89</v>
      </c>
      <c r="B8" s="19">
        <f>'Balance Sheet'!B39*1000</f>
        <v>770000000</v>
      </c>
    </row>
    <row r="9" spans="1:4" x14ac:dyDescent="0.25">
      <c r="A9" s="4" t="s">
        <v>103</v>
      </c>
      <c r="B9" s="19">
        <f>'Income Statement'!B13*1000</f>
        <v>100000000</v>
      </c>
    </row>
    <row r="10" spans="1:4" x14ac:dyDescent="0.25">
      <c r="A10" s="4" t="s">
        <v>104</v>
      </c>
      <c r="B10" s="19">
        <f>'Income Statement'!B8*1000</f>
        <v>5000000</v>
      </c>
    </row>
    <row r="11" spans="1:4" x14ac:dyDescent="0.25">
      <c r="A11" s="4" t="s">
        <v>133</v>
      </c>
      <c r="B11" s="117">
        <v>1</v>
      </c>
    </row>
    <row r="12" spans="1:4" x14ac:dyDescent="0.25">
      <c r="A12" s="4" t="s">
        <v>265</v>
      </c>
      <c r="B12" s="118">
        <v>0.05</v>
      </c>
      <c r="D12" s="20"/>
    </row>
    <row r="13" spans="1:4" x14ac:dyDescent="0.25">
      <c r="A13" s="4" t="s">
        <v>226</v>
      </c>
      <c r="B13" s="21">
        <f>'Ratio Analysis'!B38*B21</f>
        <v>1.0000000000000004E-2</v>
      </c>
      <c r="D13" s="20"/>
    </row>
    <row r="14" spans="1:4" x14ac:dyDescent="0.25">
      <c r="A14" s="4" t="s">
        <v>230</v>
      </c>
      <c r="B14" s="21">
        <f>'Ratio Analysis'!B39*'Price Multiples'!B21</f>
        <v>1.0598834128245894E-2</v>
      </c>
      <c r="D14" s="20"/>
    </row>
    <row r="15" spans="1:4" x14ac:dyDescent="0.25">
      <c r="A15" s="4" t="s">
        <v>270</v>
      </c>
      <c r="B15" s="21">
        <f>('Price Multiples'!B37*'Price Multiples'!B21)/(1-('Price Multiples'!B37*'Price Multiples'!B21))</f>
        <v>8.3036773428232531E-3</v>
      </c>
      <c r="D15" s="20"/>
    </row>
    <row r="16" spans="1:4" x14ac:dyDescent="0.25">
      <c r="A16" s="4" t="s">
        <v>271</v>
      </c>
      <c r="B16" s="21">
        <f>('Price Multiples'!B38*'Price Multiples'!B21)/(1-('Price Multiples'!B38*'Price Multiples'!B21))</f>
        <v>1.2131955000022704E-2</v>
      </c>
      <c r="D16" s="20"/>
    </row>
    <row r="17" spans="1:4" x14ac:dyDescent="0.25">
      <c r="B17" s="19"/>
      <c r="D17" s="20"/>
    </row>
    <row r="18" spans="1:4" x14ac:dyDescent="0.25">
      <c r="A18" s="4" t="s">
        <v>96</v>
      </c>
      <c r="B18" s="22">
        <f>B5/B3</f>
        <v>1.1333333333333333</v>
      </c>
      <c r="D18" s="20"/>
    </row>
    <row r="19" spans="1:4" x14ac:dyDescent="0.25">
      <c r="A19" s="4" t="s">
        <v>183</v>
      </c>
      <c r="B19" s="22">
        <f>B11/B2</f>
        <v>0.05</v>
      </c>
      <c r="D19" s="20"/>
    </row>
    <row r="20" spans="1:4" x14ac:dyDescent="0.25">
      <c r="A20" s="4" t="s">
        <v>200</v>
      </c>
      <c r="B20" s="22">
        <f>B11/B18</f>
        <v>0.88235294117647056</v>
      </c>
      <c r="D20" s="20"/>
    </row>
    <row r="21" spans="1:4" x14ac:dyDescent="0.25">
      <c r="A21" s="4" t="s">
        <v>227</v>
      </c>
      <c r="B21" s="22">
        <f>1-B20</f>
        <v>0.11764705882352944</v>
      </c>
      <c r="D21" s="20"/>
    </row>
    <row r="22" spans="1:4" x14ac:dyDescent="0.25">
      <c r="A22" s="4" t="s">
        <v>97</v>
      </c>
      <c r="B22" s="22">
        <f>(B7-B8)/B3</f>
        <v>13.333333333333334</v>
      </c>
      <c r="D22" s="20"/>
    </row>
    <row r="23" spans="1:4" x14ac:dyDescent="0.25">
      <c r="A23" s="4" t="s">
        <v>98</v>
      </c>
      <c r="B23" s="22">
        <f>B4/B3</f>
        <v>3.3333333333333335</v>
      </c>
      <c r="D23" s="20"/>
    </row>
    <row r="24" spans="1:4" x14ac:dyDescent="0.25">
      <c r="A24" s="4" t="s">
        <v>100</v>
      </c>
      <c r="B24" s="22">
        <f>B6/B3</f>
        <v>0.83333333333333337</v>
      </c>
      <c r="D24" s="20"/>
    </row>
    <row r="25" spans="1:4" x14ac:dyDescent="0.25">
      <c r="A25" s="4" t="s">
        <v>105</v>
      </c>
      <c r="B25" s="22">
        <f>(B9+B10)/B3</f>
        <v>1.75</v>
      </c>
    </row>
    <row r="26" spans="1:4" x14ac:dyDescent="0.25">
      <c r="B26" s="19"/>
    </row>
    <row r="27" spans="1:4" x14ac:dyDescent="0.25">
      <c r="A27" s="4" t="s">
        <v>95</v>
      </c>
      <c r="B27" s="22">
        <f>B2/B18</f>
        <v>17.647058823529413</v>
      </c>
    </row>
    <row r="28" spans="1:4" x14ac:dyDescent="0.25">
      <c r="A28" s="4" t="s">
        <v>94</v>
      </c>
      <c r="B28" s="22">
        <f>B2/B22</f>
        <v>1.5</v>
      </c>
    </row>
    <row r="29" spans="1:4" x14ac:dyDescent="0.25">
      <c r="A29" s="4" t="s">
        <v>92</v>
      </c>
      <c r="B29" s="22">
        <f>B2/B23</f>
        <v>6</v>
      </c>
    </row>
    <row r="30" spans="1:4" x14ac:dyDescent="0.25">
      <c r="A30" s="4" t="s">
        <v>93</v>
      </c>
      <c r="B30" s="22">
        <f>B2/B24</f>
        <v>24</v>
      </c>
    </row>
    <row r="31" spans="1:4" x14ac:dyDescent="0.25">
      <c r="A31" s="4" t="s">
        <v>106</v>
      </c>
      <c r="B31" s="22">
        <f>B2/B25</f>
        <v>11.428571428571429</v>
      </c>
    </row>
    <row r="34" spans="1:2" x14ac:dyDescent="0.25">
      <c r="A34" s="10" t="s">
        <v>114</v>
      </c>
    </row>
    <row r="35" spans="1:2" x14ac:dyDescent="0.25">
      <c r="A35" s="4" t="s">
        <v>115</v>
      </c>
      <c r="B35" s="19">
        <f>'Balance Sheet'!B39*1000</f>
        <v>770000000</v>
      </c>
    </row>
    <row r="36" spans="1:2" x14ac:dyDescent="0.25">
      <c r="A36" s="4" t="s">
        <v>37</v>
      </c>
      <c r="B36" s="19">
        <f>'Balance Sheet'!B44*1000</f>
        <v>800000000</v>
      </c>
    </row>
    <row r="37" spans="1:2" x14ac:dyDescent="0.25">
      <c r="A37" s="4" t="s">
        <v>116</v>
      </c>
      <c r="B37" s="118">
        <v>7.0000000000000007E-2</v>
      </c>
    </row>
    <row r="38" spans="1:2" x14ac:dyDescent="0.25">
      <c r="A38" s="4" t="s">
        <v>123</v>
      </c>
      <c r="B38" s="24">
        <f>'Stock Beta'!B68:E68</f>
        <v>0.10188554663328522</v>
      </c>
    </row>
    <row r="39" spans="1:2" x14ac:dyDescent="0.25">
      <c r="A39" s="4" t="s">
        <v>132</v>
      </c>
      <c r="B39" s="24">
        <f>((B11*(1+B12))/B2)+B12</f>
        <v>0.10250000000000001</v>
      </c>
    </row>
    <row r="40" spans="1:2" x14ac:dyDescent="0.25">
      <c r="A40" s="25" t="s">
        <v>134</v>
      </c>
      <c r="B40" s="26">
        <f>((B35/(B35+B36))*B37)+((B36/(B35+B36))*B38)</f>
        <v>8.6247412297215401E-2</v>
      </c>
    </row>
    <row r="41" spans="1:2" x14ac:dyDescent="0.25">
      <c r="A41" s="25" t="s">
        <v>135</v>
      </c>
      <c r="B41" s="27">
        <f>((B35/(B35+B36)*B37)+((B36/(B35+B36))*B39))</f>
        <v>8.656050955414013E-2</v>
      </c>
    </row>
    <row r="43" spans="1:2" x14ac:dyDescent="0.25">
      <c r="A43" s="10" t="s">
        <v>110</v>
      </c>
    </row>
    <row r="44" spans="1:2" x14ac:dyDescent="0.25">
      <c r="A44" s="4" t="s">
        <v>108</v>
      </c>
      <c r="B44" s="19">
        <f>B2*B3</f>
        <v>1200000000</v>
      </c>
    </row>
    <row r="45" spans="1:2" x14ac:dyDescent="0.25">
      <c r="A45" s="4" t="s">
        <v>109</v>
      </c>
      <c r="B45" s="28">
        <f>B7-B8</f>
        <v>800000000</v>
      </c>
    </row>
    <row r="47" spans="1:2" x14ac:dyDescent="0.25">
      <c r="A47" s="25" t="s">
        <v>110</v>
      </c>
      <c r="B47" s="28">
        <f>B44-B45</f>
        <v>400000000</v>
      </c>
    </row>
    <row r="49" spans="1:2" x14ac:dyDescent="0.25">
      <c r="A49" s="10" t="s">
        <v>111</v>
      </c>
    </row>
    <row r="50" spans="1:2" x14ac:dyDescent="0.25">
      <c r="A50" s="4" t="s">
        <v>112</v>
      </c>
      <c r="B50" s="19">
        <f>'Income Statement'!B17*1000</f>
        <v>68000000</v>
      </c>
    </row>
    <row r="51" spans="1:2" x14ac:dyDescent="0.25">
      <c r="A51" s="4" t="s">
        <v>130</v>
      </c>
      <c r="B51" s="21">
        <f>B41</f>
        <v>8.656050955414013E-2</v>
      </c>
    </row>
    <row r="52" spans="1:2" x14ac:dyDescent="0.25">
      <c r="A52" s="4" t="s">
        <v>113</v>
      </c>
      <c r="B52" s="19">
        <f>'Balance Sheet'!B41*1000</f>
        <v>600000000</v>
      </c>
    </row>
    <row r="54" spans="1:2" x14ac:dyDescent="0.25">
      <c r="A54" s="25" t="s">
        <v>111</v>
      </c>
      <c r="B54" s="28">
        <f>B50-(B51*B52)</f>
        <v>16063694.26751592</v>
      </c>
    </row>
    <row r="56" spans="1:2" x14ac:dyDescent="0.25">
      <c r="A56" s="10" t="s">
        <v>107</v>
      </c>
    </row>
    <row r="57" spans="1:2" x14ac:dyDescent="0.25">
      <c r="A57" s="4" t="s">
        <v>108</v>
      </c>
      <c r="B57" s="28">
        <f>B44</f>
        <v>1200000000</v>
      </c>
    </row>
    <row r="58" spans="1:2" x14ac:dyDescent="0.25">
      <c r="A58" s="4" t="s">
        <v>115</v>
      </c>
      <c r="B58" s="19">
        <f>'Balance Sheet'!B39*1000</f>
        <v>770000000</v>
      </c>
    </row>
    <row r="59" spans="1:2" x14ac:dyDescent="0.25">
      <c r="A59" s="4" t="s">
        <v>31</v>
      </c>
      <c r="B59" s="19">
        <f>'Balance Sheet'!B4*1000</f>
        <v>100000000</v>
      </c>
    </row>
    <row r="60" spans="1:2" x14ac:dyDescent="0.25">
      <c r="A60" s="4" t="s">
        <v>107</v>
      </c>
      <c r="B60" s="28">
        <f>B57+B58-B59</f>
        <v>1870000000</v>
      </c>
    </row>
    <row r="62" spans="1:2" x14ac:dyDescent="0.25">
      <c r="A62" s="4" t="s">
        <v>131</v>
      </c>
      <c r="B62" s="29">
        <f>B60/(B9+B10)</f>
        <v>17.80952380952381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2 B3 B6 B11 B12 B37">
      <formula1>0</formula1>
      <formula2>1000000000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workbookViewId="0">
      <selection activeCell="B4" sqref="B4"/>
    </sheetView>
  </sheetViews>
  <sheetFormatPr defaultRowHeight="15" x14ac:dyDescent="0.25"/>
  <cols>
    <col min="1" max="1" width="38" style="4" bestFit="1" customWidth="1"/>
    <col min="2" max="6" width="10.7109375" style="34" customWidth="1"/>
    <col min="7" max="16384" width="9.140625" style="4"/>
  </cols>
  <sheetData>
    <row r="1" spans="1:12" s="30" customFormat="1" ht="15.75" x14ac:dyDescent="0.25">
      <c r="A1" s="2" t="s">
        <v>0</v>
      </c>
      <c r="B1" s="2">
        <v>2018</v>
      </c>
      <c r="C1" s="2">
        <v>2019</v>
      </c>
      <c r="D1" s="2">
        <v>2020</v>
      </c>
      <c r="E1" s="2">
        <v>2021</v>
      </c>
      <c r="F1" s="2">
        <v>2022</v>
      </c>
      <c r="H1" s="2">
        <v>2018</v>
      </c>
      <c r="I1" s="2">
        <v>2019</v>
      </c>
      <c r="J1" s="2">
        <v>2020</v>
      </c>
      <c r="K1" s="2">
        <v>2021</v>
      </c>
      <c r="L1" s="2">
        <v>2022</v>
      </c>
    </row>
    <row r="2" spans="1:12" ht="15.75" x14ac:dyDescent="0.25">
      <c r="A2" s="3" t="s">
        <v>1</v>
      </c>
      <c r="B2" s="31"/>
      <c r="C2" s="31"/>
      <c r="D2" s="31"/>
      <c r="E2" s="31"/>
      <c r="F2" s="31"/>
      <c r="H2" s="31"/>
      <c r="I2" s="31"/>
      <c r="J2" s="31"/>
      <c r="K2" s="31"/>
      <c r="L2" s="31"/>
    </row>
    <row r="3" spans="1:12" x14ac:dyDescent="0.25">
      <c r="A3" s="6" t="s">
        <v>2</v>
      </c>
      <c r="B3" s="31"/>
      <c r="C3" s="31"/>
      <c r="D3" s="31"/>
      <c r="E3" s="31"/>
      <c r="F3" s="31"/>
      <c r="H3" s="31"/>
      <c r="I3" s="31"/>
      <c r="J3" s="31"/>
      <c r="K3" s="31"/>
      <c r="L3" s="31"/>
    </row>
    <row r="4" spans="1:12" x14ac:dyDescent="0.25">
      <c r="A4" s="5" t="s">
        <v>31</v>
      </c>
      <c r="B4" s="112">
        <v>100000</v>
      </c>
      <c r="C4" s="119">
        <v>110000.00000000001</v>
      </c>
      <c r="D4" s="119">
        <v>121000.00000000003</v>
      </c>
      <c r="E4" s="119">
        <v>133100.00000000003</v>
      </c>
      <c r="F4" s="119">
        <v>146410.00000000006</v>
      </c>
      <c r="H4" s="32">
        <f>B4/$B$24</f>
        <v>6.3694267515923567E-2</v>
      </c>
      <c r="I4" s="32">
        <f>C4/$C$24</f>
        <v>6.369426751592358E-2</v>
      </c>
      <c r="J4" s="32">
        <f>D4/$D$24</f>
        <v>6.369426751592358E-2</v>
      </c>
      <c r="K4" s="32">
        <f>E4/$E$24</f>
        <v>6.3694267515923567E-2</v>
      </c>
      <c r="L4" s="32">
        <f>F4/$F$24</f>
        <v>6.369426751592358E-2</v>
      </c>
    </row>
    <row r="5" spans="1:12" x14ac:dyDescent="0.25">
      <c r="A5" s="5" t="s">
        <v>275</v>
      </c>
      <c r="B5" s="112">
        <v>50000</v>
      </c>
      <c r="C5" s="119">
        <v>55000.000000000007</v>
      </c>
      <c r="D5" s="119">
        <v>60500.000000000015</v>
      </c>
      <c r="E5" s="119">
        <v>66550.000000000015</v>
      </c>
      <c r="F5" s="119">
        <v>73205.000000000029</v>
      </c>
      <c r="H5" s="32">
        <f t="shared" ref="H5:H45" si="0">B5/$B$24</f>
        <v>3.1847133757961783E-2</v>
      </c>
      <c r="I5" s="32">
        <f t="shared" ref="I5:I45" si="1">C5/$C$24</f>
        <v>3.184713375796179E-2</v>
      </c>
      <c r="J5" s="32">
        <f t="shared" ref="J5:J45" si="2">D5/$D$24</f>
        <v>3.184713375796179E-2</v>
      </c>
      <c r="K5" s="32">
        <f t="shared" ref="K5:K45" si="3">E5/$E$24</f>
        <v>3.1847133757961783E-2</v>
      </c>
      <c r="L5" s="32">
        <f t="shared" ref="L5:L45" si="4">F5/$F$24</f>
        <v>3.184713375796179E-2</v>
      </c>
    </row>
    <row r="6" spans="1:12" x14ac:dyDescent="0.25">
      <c r="A6" s="5" t="s">
        <v>3</v>
      </c>
      <c r="B6" s="112">
        <v>50000</v>
      </c>
      <c r="C6" s="119">
        <v>55000.000000000007</v>
      </c>
      <c r="D6" s="119">
        <v>60500.000000000015</v>
      </c>
      <c r="E6" s="119">
        <v>66550.000000000015</v>
      </c>
      <c r="F6" s="119">
        <v>73205.000000000029</v>
      </c>
      <c r="H6" s="32">
        <f t="shared" si="0"/>
        <v>3.1847133757961783E-2</v>
      </c>
      <c r="I6" s="32">
        <f t="shared" si="1"/>
        <v>3.184713375796179E-2</v>
      </c>
      <c r="J6" s="32">
        <f t="shared" si="2"/>
        <v>3.184713375796179E-2</v>
      </c>
      <c r="K6" s="32">
        <f t="shared" si="3"/>
        <v>3.1847133757961783E-2</v>
      </c>
      <c r="L6" s="32">
        <f t="shared" si="4"/>
        <v>3.184713375796179E-2</v>
      </c>
    </row>
    <row r="7" spans="1:12" x14ac:dyDescent="0.25">
      <c r="A7" s="5" t="s">
        <v>11</v>
      </c>
      <c r="B7" s="112">
        <v>100000</v>
      </c>
      <c r="C7" s="119">
        <v>110000.00000000001</v>
      </c>
      <c r="D7" s="119">
        <v>121000.00000000003</v>
      </c>
      <c r="E7" s="119">
        <v>133100.00000000003</v>
      </c>
      <c r="F7" s="119">
        <v>146410.00000000006</v>
      </c>
      <c r="H7" s="32">
        <f t="shared" si="0"/>
        <v>6.3694267515923567E-2</v>
      </c>
      <c r="I7" s="32">
        <f t="shared" si="1"/>
        <v>6.369426751592358E-2</v>
      </c>
      <c r="J7" s="32">
        <f t="shared" si="2"/>
        <v>6.369426751592358E-2</v>
      </c>
      <c r="K7" s="32">
        <f t="shared" si="3"/>
        <v>6.3694267515923567E-2</v>
      </c>
      <c r="L7" s="32">
        <f t="shared" si="4"/>
        <v>6.369426751592358E-2</v>
      </c>
    </row>
    <row r="8" spans="1:12" x14ac:dyDescent="0.25">
      <c r="A8" s="5" t="s">
        <v>35</v>
      </c>
      <c r="B8" s="112">
        <v>100000</v>
      </c>
      <c r="C8" s="119">
        <v>110000.00000000001</v>
      </c>
      <c r="D8" s="119">
        <v>121000.00000000003</v>
      </c>
      <c r="E8" s="119">
        <v>133100.00000000003</v>
      </c>
      <c r="F8" s="119">
        <v>146410.00000000006</v>
      </c>
      <c r="H8" s="32">
        <f t="shared" si="0"/>
        <v>6.3694267515923567E-2</v>
      </c>
      <c r="I8" s="32">
        <f t="shared" si="1"/>
        <v>6.369426751592358E-2</v>
      </c>
      <c r="J8" s="32">
        <f t="shared" si="2"/>
        <v>6.369426751592358E-2</v>
      </c>
      <c r="K8" s="32">
        <f t="shared" si="3"/>
        <v>6.3694267515923567E-2</v>
      </c>
      <c r="L8" s="32">
        <f t="shared" si="4"/>
        <v>6.369426751592358E-2</v>
      </c>
    </row>
    <row r="9" spans="1:12" x14ac:dyDescent="0.25">
      <c r="A9" s="5" t="s">
        <v>36</v>
      </c>
      <c r="B9" s="112">
        <v>100000</v>
      </c>
      <c r="C9" s="119">
        <v>110000.00000000001</v>
      </c>
      <c r="D9" s="119">
        <v>121000.00000000003</v>
      </c>
      <c r="E9" s="119">
        <v>133100.00000000003</v>
      </c>
      <c r="F9" s="119">
        <v>146410.00000000006</v>
      </c>
      <c r="H9" s="32">
        <f t="shared" si="0"/>
        <v>6.3694267515923567E-2</v>
      </c>
      <c r="I9" s="32">
        <f t="shared" si="1"/>
        <v>6.369426751592358E-2</v>
      </c>
      <c r="J9" s="32">
        <f t="shared" si="2"/>
        <v>6.369426751592358E-2</v>
      </c>
      <c r="K9" s="32">
        <f t="shared" si="3"/>
        <v>6.3694267515923567E-2</v>
      </c>
      <c r="L9" s="32">
        <f t="shared" si="4"/>
        <v>6.369426751592358E-2</v>
      </c>
    </row>
    <row r="10" spans="1:12" x14ac:dyDescent="0.25">
      <c r="A10" s="5" t="s">
        <v>4</v>
      </c>
      <c r="B10" s="112">
        <v>100000</v>
      </c>
      <c r="C10" s="119">
        <v>110000.00000000001</v>
      </c>
      <c r="D10" s="119">
        <v>121000.00000000003</v>
      </c>
      <c r="E10" s="119">
        <v>133100.00000000003</v>
      </c>
      <c r="F10" s="119">
        <v>146410.00000000006</v>
      </c>
      <c r="H10" s="32">
        <f t="shared" si="0"/>
        <v>6.3694267515923567E-2</v>
      </c>
      <c r="I10" s="32">
        <f t="shared" si="1"/>
        <v>6.369426751592358E-2</v>
      </c>
      <c r="J10" s="32">
        <f t="shared" si="2"/>
        <v>6.369426751592358E-2</v>
      </c>
      <c r="K10" s="32">
        <f t="shared" si="3"/>
        <v>6.3694267515923567E-2</v>
      </c>
      <c r="L10" s="32">
        <f t="shared" si="4"/>
        <v>6.369426751592358E-2</v>
      </c>
    </row>
    <row r="11" spans="1:12" x14ac:dyDescent="0.25">
      <c r="A11" s="5" t="s">
        <v>5</v>
      </c>
      <c r="B11" s="112">
        <v>100000</v>
      </c>
      <c r="C11" s="119">
        <v>110000.00000000001</v>
      </c>
      <c r="D11" s="119">
        <v>121000.00000000003</v>
      </c>
      <c r="E11" s="119">
        <v>133100.00000000003</v>
      </c>
      <c r="F11" s="119">
        <v>146410.00000000006</v>
      </c>
      <c r="H11" s="32">
        <f t="shared" si="0"/>
        <v>6.3694267515923567E-2</v>
      </c>
      <c r="I11" s="32">
        <f t="shared" si="1"/>
        <v>6.369426751592358E-2</v>
      </c>
      <c r="J11" s="32">
        <f t="shared" si="2"/>
        <v>6.369426751592358E-2</v>
      </c>
      <c r="K11" s="32">
        <f t="shared" si="3"/>
        <v>6.3694267515923567E-2</v>
      </c>
      <c r="L11" s="32">
        <f t="shared" si="4"/>
        <v>6.369426751592358E-2</v>
      </c>
    </row>
    <row r="12" spans="1:12" x14ac:dyDescent="0.25">
      <c r="A12" s="5" t="s">
        <v>6</v>
      </c>
      <c r="B12" s="112">
        <v>10000</v>
      </c>
      <c r="C12" s="119">
        <v>11000</v>
      </c>
      <c r="D12" s="119">
        <v>12100.000000000002</v>
      </c>
      <c r="E12" s="119">
        <v>13310.000000000004</v>
      </c>
      <c r="F12" s="119">
        <v>14641.000000000005</v>
      </c>
      <c r="H12" s="32">
        <f t="shared" si="0"/>
        <v>6.369426751592357E-3</v>
      </c>
      <c r="I12" s="32">
        <f t="shared" si="1"/>
        <v>6.369426751592357E-3</v>
      </c>
      <c r="J12" s="32">
        <f t="shared" si="2"/>
        <v>6.369426751592357E-3</v>
      </c>
      <c r="K12" s="32">
        <f t="shared" si="3"/>
        <v>6.369426751592357E-3</v>
      </c>
      <c r="L12" s="32">
        <f t="shared" si="4"/>
        <v>6.3694267515923579E-3</v>
      </c>
    </row>
    <row r="13" spans="1:12" x14ac:dyDescent="0.25">
      <c r="A13" s="6" t="s">
        <v>39</v>
      </c>
      <c r="B13" s="33">
        <f>SUM(B4:B12)</f>
        <v>710000</v>
      </c>
      <c r="C13" s="33">
        <f t="shared" ref="C13:F13" si="5">SUM(C4:C12)</f>
        <v>781000.00000000012</v>
      </c>
      <c r="D13" s="33">
        <f t="shared" si="5"/>
        <v>859100.00000000012</v>
      </c>
      <c r="E13" s="33">
        <f t="shared" si="5"/>
        <v>945010.00000000012</v>
      </c>
      <c r="F13" s="33">
        <f t="shared" si="5"/>
        <v>1039511.0000000002</v>
      </c>
      <c r="H13" s="32">
        <f t="shared" si="0"/>
        <v>0.45222929936305734</v>
      </c>
      <c r="I13" s="32">
        <f t="shared" si="1"/>
        <v>0.45222929936305739</v>
      </c>
      <c r="J13" s="32">
        <f t="shared" si="2"/>
        <v>0.45222929936305734</v>
      </c>
      <c r="K13" s="32">
        <f t="shared" si="3"/>
        <v>0.45222929936305728</v>
      </c>
      <c r="L13" s="32">
        <f t="shared" si="4"/>
        <v>0.45222929936305734</v>
      </c>
    </row>
    <row r="14" spans="1:12" x14ac:dyDescent="0.25">
      <c r="A14" s="6" t="s">
        <v>7</v>
      </c>
      <c r="B14" s="33"/>
      <c r="C14" s="33"/>
      <c r="D14" s="33"/>
      <c r="E14" s="33"/>
      <c r="F14" s="33"/>
      <c r="H14" s="32"/>
      <c r="I14" s="32"/>
      <c r="J14" s="32"/>
      <c r="K14" s="32"/>
      <c r="L14" s="32"/>
    </row>
    <row r="15" spans="1:12" x14ac:dyDescent="0.25">
      <c r="A15" s="5" t="s">
        <v>8</v>
      </c>
      <c r="B15" s="112">
        <v>300000</v>
      </c>
      <c r="C15" s="119">
        <v>330000</v>
      </c>
      <c r="D15" s="119">
        <v>363000.00000000006</v>
      </c>
      <c r="E15" s="119">
        <v>399300.00000000012</v>
      </c>
      <c r="F15" s="119">
        <v>439230.00000000017</v>
      </c>
      <c r="H15" s="32">
        <f t="shared" si="0"/>
        <v>0.19108280254777071</v>
      </c>
      <c r="I15" s="32">
        <f t="shared" si="1"/>
        <v>0.19108280254777071</v>
      </c>
      <c r="J15" s="32">
        <f t="shared" si="2"/>
        <v>0.19108280254777071</v>
      </c>
      <c r="K15" s="32">
        <f t="shared" si="3"/>
        <v>0.19108280254777071</v>
      </c>
      <c r="L15" s="32">
        <f t="shared" si="4"/>
        <v>0.19108280254777074</v>
      </c>
    </row>
    <row r="16" spans="1:12" x14ac:dyDescent="0.25">
      <c r="A16" s="5" t="s">
        <v>9</v>
      </c>
      <c r="B16" s="112">
        <v>200000</v>
      </c>
      <c r="C16" s="119">
        <v>220000.00000000003</v>
      </c>
      <c r="D16" s="119">
        <v>242000.00000000006</v>
      </c>
      <c r="E16" s="119">
        <v>266200.00000000006</v>
      </c>
      <c r="F16" s="119">
        <v>292820.00000000012</v>
      </c>
      <c r="H16" s="32">
        <f t="shared" si="0"/>
        <v>0.12738853503184713</v>
      </c>
      <c r="I16" s="32">
        <f t="shared" si="1"/>
        <v>0.12738853503184716</v>
      </c>
      <c r="J16" s="32">
        <f t="shared" si="2"/>
        <v>0.12738853503184716</v>
      </c>
      <c r="K16" s="32">
        <f t="shared" si="3"/>
        <v>0.12738853503184713</v>
      </c>
      <c r="L16" s="32">
        <f t="shared" si="4"/>
        <v>0.12738853503184716</v>
      </c>
    </row>
    <row r="17" spans="1:12" x14ac:dyDescent="0.25">
      <c r="A17" s="5" t="s">
        <v>10</v>
      </c>
      <c r="B17" s="112">
        <v>100000</v>
      </c>
      <c r="C17" s="119">
        <v>110000.00000000001</v>
      </c>
      <c r="D17" s="119">
        <v>121000.00000000003</v>
      </c>
      <c r="E17" s="119">
        <v>133100.00000000003</v>
      </c>
      <c r="F17" s="119">
        <v>146410.00000000006</v>
      </c>
      <c r="H17" s="32">
        <f t="shared" si="0"/>
        <v>6.3694267515923567E-2</v>
      </c>
      <c r="I17" s="32">
        <f t="shared" si="1"/>
        <v>6.369426751592358E-2</v>
      </c>
      <c r="J17" s="32">
        <f t="shared" si="2"/>
        <v>6.369426751592358E-2</v>
      </c>
      <c r="K17" s="32">
        <f t="shared" si="3"/>
        <v>6.3694267515923567E-2</v>
      </c>
      <c r="L17" s="32">
        <f t="shared" si="4"/>
        <v>6.369426751592358E-2</v>
      </c>
    </row>
    <row r="18" spans="1:12" x14ac:dyDescent="0.25">
      <c r="A18" s="5" t="s">
        <v>12</v>
      </c>
      <c r="B18" s="112">
        <v>100000</v>
      </c>
      <c r="C18" s="119">
        <v>110000.00000000001</v>
      </c>
      <c r="D18" s="119">
        <v>121000.00000000003</v>
      </c>
      <c r="E18" s="119">
        <v>133100.00000000003</v>
      </c>
      <c r="F18" s="119">
        <v>146410.00000000006</v>
      </c>
      <c r="H18" s="32">
        <f t="shared" si="0"/>
        <v>6.3694267515923567E-2</v>
      </c>
      <c r="I18" s="32">
        <f t="shared" si="1"/>
        <v>6.369426751592358E-2</v>
      </c>
      <c r="J18" s="32">
        <f t="shared" si="2"/>
        <v>6.369426751592358E-2</v>
      </c>
      <c r="K18" s="32">
        <f t="shared" si="3"/>
        <v>6.3694267515923567E-2</v>
      </c>
      <c r="L18" s="32">
        <f t="shared" si="4"/>
        <v>6.369426751592358E-2</v>
      </c>
    </row>
    <row r="19" spans="1:12" x14ac:dyDescent="0.25">
      <c r="A19" s="5" t="s">
        <v>33</v>
      </c>
      <c r="B19" s="112">
        <v>100000</v>
      </c>
      <c r="C19" s="119">
        <v>110000.00000000001</v>
      </c>
      <c r="D19" s="119">
        <v>121000.00000000003</v>
      </c>
      <c r="E19" s="119">
        <v>133100.00000000003</v>
      </c>
      <c r="F19" s="119">
        <v>146410.00000000006</v>
      </c>
      <c r="H19" s="32">
        <f t="shared" si="0"/>
        <v>6.3694267515923567E-2</v>
      </c>
      <c r="I19" s="32">
        <f t="shared" si="1"/>
        <v>6.369426751592358E-2</v>
      </c>
      <c r="J19" s="32">
        <f t="shared" si="2"/>
        <v>6.369426751592358E-2</v>
      </c>
      <c r="K19" s="32">
        <f t="shared" si="3"/>
        <v>6.3694267515923567E-2</v>
      </c>
      <c r="L19" s="32">
        <f t="shared" si="4"/>
        <v>6.369426751592358E-2</v>
      </c>
    </row>
    <row r="20" spans="1:12" x14ac:dyDescent="0.25">
      <c r="A20" s="5" t="s">
        <v>34</v>
      </c>
      <c r="B20" s="112">
        <v>25000</v>
      </c>
      <c r="C20" s="119">
        <v>27500.000000000004</v>
      </c>
      <c r="D20" s="119">
        <v>30250.000000000007</v>
      </c>
      <c r="E20" s="119">
        <v>33275.000000000007</v>
      </c>
      <c r="F20" s="119">
        <v>36602.500000000015</v>
      </c>
      <c r="H20" s="32">
        <f t="shared" si="0"/>
        <v>1.5923566878980892E-2</v>
      </c>
      <c r="I20" s="32">
        <f t="shared" si="1"/>
        <v>1.5923566878980895E-2</v>
      </c>
      <c r="J20" s="32">
        <f t="shared" si="2"/>
        <v>1.5923566878980895E-2</v>
      </c>
      <c r="K20" s="32">
        <f t="shared" si="3"/>
        <v>1.5923566878980892E-2</v>
      </c>
      <c r="L20" s="32">
        <f t="shared" si="4"/>
        <v>1.5923566878980895E-2</v>
      </c>
    </row>
    <row r="21" spans="1:12" x14ac:dyDescent="0.25">
      <c r="A21" s="5" t="s">
        <v>32</v>
      </c>
      <c r="B21" s="112">
        <v>25000</v>
      </c>
      <c r="C21" s="119">
        <v>27500.000000000004</v>
      </c>
      <c r="D21" s="119">
        <v>30250.000000000007</v>
      </c>
      <c r="E21" s="119">
        <v>33275.000000000007</v>
      </c>
      <c r="F21" s="119">
        <v>36602.500000000015</v>
      </c>
      <c r="H21" s="32">
        <f t="shared" si="0"/>
        <v>1.5923566878980892E-2</v>
      </c>
      <c r="I21" s="32">
        <f t="shared" si="1"/>
        <v>1.5923566878980895E-2</v>
      </c>
      <c r="J21" s="32">
        <f t="shared" si="2"/>
        <v>1.5923566878980895E-2</v>
      </c>
      <c r="K21" s="32">
        <f t="shared" si="3"/>
        <v>1.5923566878980892E-2</v>
      </c>
      <c r="L21" s="32">
        <f t="shared" si="4"/>
        <v>1.5923566878980895E-2</v>
      </c>
    </row>
    <row r="22" spans="1:12" x14ac:dyDescent="0.25">
      <c r="A22" s="5" t="s">
        <v>13</v>
      </c>
      <c r="B22" s="112">
        <v>10000</v>
      </c>
      <c r="C22" s="119">
        <v>11000</v>
      </c>
      <c r="D22" s="119">
        <v>12100.000000000002</v>
      </c>
      <c r="E22" s="119">
        <v>13310.000000000004</v>
      </c>
      <c r="F22" s="119">
        <v>14641.000000000005</v>
      </c>
      <c r="H22" s="32">
        <f t="shared" si="0"/>
        <v>6.369426751592357E-3</v>
      </c>
      <c r="I22" s="32">
        <f t="shared" si="1"/>
        <v>6.369426751592357E-3</v>
      </c>
      <c r="J22" s="32">
        <f t="shared" si="2"/>
        <v>6.369426751592357E-3</v>
      </c>
      <c r="K22" s="32">
        <f t="shared" si="3"/>
        <v>6.369426751592357E-3</v>
      </c>
      <c r="L22" s="32">
        <f t="shared" si="4"/>
        <v>6.3694267515923579E-3</v>
      </c>
    </row>
    <row r="23" spans="1:12" x14ac:dyDescent="0.25">
      <c r="A23" s="6" t="s">
        <v>40</v>
      </c>
      <c r="B23" s="119">
        <v>860000</v>
      </c>
      <c r="C23" s="119">
        <v>946000</v>
      </c>
      <c r="D23" s="119">
        <v>1040600.0000000001</v>
      </c>
      <c r="E23" s="119">
        <v>1144660.0000000002</v>
      </c>
      <c r="F23" s="119">
        <v>1259126.0000000002</v>
      </c>
      <c r="H23" s="32">
        <f t="shared" si="0"/>
        <v>0.54777070063694266</v>
      </c>
      <c r="I23" s="32">
        <f t="shared" si="1"/>
        <v>0.54777070063694266</v>
      </c>
      <c r="J23" s="32">
        <f t="shared" si="2"/>
        <v>0.54777070063694266</v>
      </c>
      <c r="K23" s="32">
        <f t="shared" si="3"/>
        <v>0.54777070063694266</v>
      </c>
      <c r="L23" s="32">
        <f t="shared" si="4"/>
        <v>0.54777070063694266</v>
      </c>
    </row>
    <row r="24" spans="1:12" ht="15.75" x14ac:dyDescent="0.25">
      <c r="A24" s="8" t="s">
        <v>14</v>
      </c>
      <c r="B24" s="33">
        <f>B13+B23</f>
        <v>1570000</v>
      </c>
      <c r="C24" s="33">
        <f t="shared" ref="C24:F24" si="6">C13+C23</f>
        <v>1727000</v>
      </c>
      <c r="D24" s="33">
        <f t="shared" si="6"/>
        <v>1899700.0000000002</v>
      </c>
      <c r="E24" s="33">
        <f t="shared" si="6"/>
        <v>2089670.0000000005</v>
      </c>
      <c r="F24" s="33">
        <f t="shared" si="6"/>
        <v>2298637.0000000005</v>
      </c>
      <c r="H24" s="32">
        <f t="shared" si="0"/>
        <v>1</v>
      </c>
      <c r="I24" s="32">
        <f t="shared" si="1"/>
        <v>1</v>
      </c>
      <c r="J24" s="32">
        <f t="shared" si="2"/>
        <v>1</v>
      </c>
      <c r="K24" s="32">
        <f t="shared" si="3"/>
        <v>1</v>
      </c>
      <c r="L24" s="32">
        <f t="shared" si="4"/>
        <v>1</v>
      </c>
    </row>
    <row r="25" spans="1:12" ht="15.75" x14ac:dyDescent="0.25">
      <c r="A25" s="3" t="s">
        <v>15</v>
      </c>
      <c r="B25" s="33"/>
      <c r="C25" s="33"/>
      <c r="D25" s="33"/>
      <c r="E25" s="33"/>
      <c r="F25" s="33"/>
      <c r="H25" s="32"/>
      <c r="I25" s="32"/>
      <c r="J25" s="32"/>
      <c r="K25" s="32"/>
      <c r="L25" s="32"/>
    </row>
    <row r="26" spans="1:12" x14ac:dyDescent="0.25">
      <c r="A26" s="6" t="s">
        <v>16</v>
      </c>
      <c r="B26" s="33"/>
      <c r="C26" s="33"/>
      <c r="D26" s="33"/>
      <c r="E26" s="33"/>
      <c r="F26" s="33"/>
      <c r="H26" s="32"/>
      <c r="I26" s="32"/>
      <c r="J26" s="32"/>
      <c r="K26" s="32"/>
      <c r="L26" s="32"/>
    </row>
    <row r="27" spans="1:12" x14ac:dyDescent="0.25">
      <c r="A27" s="5" t="s">
        <v>17</v>
      </c>
      <c r="B27" s="112">
        <v>50000</v>
      </c>
      <c r="C27" s="119">
        <v>55000.000000000007</v>
      </c>
      <c r="D27" s="119">
        <v>60500.000000000015</v>
      </c>
      <c r="E27" s="119">
        <v>66550.000000000015</v>
      </c>
      <c r="F27" s="119">
        <v>73205.000000000029</v>
      </c>
      <c r="H27" s="32">
        <f t="shared" si="0"/>
        <v>3.1847133757961783E-2</v>
      </c>
      <c r="I27" s="32">
        <f t="shared" si="1"/>
        <v>3.184713375796179E-2</v>
      </c>
      <c r="J27" s="32">
        <f t="shared" si="2"/>
        <v>3.184713375796179E-2</v>
      </c>
      <c r="K27" s="32">
        <f t="shared" si="3"/>
        <v>3.1847133757961783E-2</v>
      </c>
      <c r="L27" s="32">
        <f t="shared" si="4"/>
        <v>3.184713375796179E-2</v>
      </c>
    </row>
    <row r="28" spans="1:12" x14ac:dyDescent="0.25">
      <c r="A28" s="5" t="s">
        <v>18</v>
      </c>
      <c r="B28" s="112">
        <v>100000</v>
      </c>
      <c r="C28" s="119">
        <v>110000.00000000001</v>
      </c>
      <c r="D28" s="119">
        <v>121000.00000000003</v>
      </c>
      <c r="E28" s="119">
        <v>133100.00000000003</v>
      </c>
      <c r="F28" s="119">
        <v>146410.00000000006</v>
      </c>
      <c r="H28" s="32">
        <f t="shared" si="0"/>
        <v>6.3694267515923567E-2</v>
      </c>
      <c r="I28" s="32">
        <f t="shared" si="1"/>
        <v>6.369426751592358E-2</v>
      </c>
      <c r="J28" s="32">
        <f t="shared" si="2"/>
        <v>6.369426751592358E-2</v>
      </c>
      <c r="K28" s="32">
        <f t="shared" si="3"/>
        <v>6.3694267515923567E-2</v>
      </c>
      <c r="L28" s="32">
        <f t="shared" si="4"/>
        <v>6.369426751592358E-2</v>
      </c>
    </row>
    <row r="29" spans="1:12" x14ac:dyDescent="0.25">
      <c r="A29" s="5" t="s">
        <v>30</v>
      </c>
      <c r="B29" s="112">
        <v>100000</v>
      </c>
      <c r="C29" s="119">
        <v>110000.00000000001</v>
      </c>
      <c r="D29" s="119">
        <v>121000.00000000003</v>
      </c>
      <c r="E29" s="119">
        <v>133100.00000000003</v>
      </c>
      <c r="F29" s="119">
        <v>146410.00000000006</v>
      </c>
      <c r="H29" s="32">
        <f t="shared" si="0"/>
        <v>6.3694267515923567E-2</v>
      </c>
      <c r="I29" s="32">
        <f t="shared" si="1"/>
        <v>6.369426751592358E-2</v>
      </c>
      <c r="J29" s="32">
        <f t="shared" si="2"/>
        <v>6.369426751592358E-2</v>
      </c>
      <c r="K29" s="32">
        <f t="shared" si="3"/>
        <v>6.3694267515923567E-2</v>
      </c>
      <c r="L29" s="32">
        <f t="shared" si="4"/>
        <v>6.369426751592358E-2</v>
      </c>
    </row>
    <row r="30" spans="1:12" x14ac:dyDescent="0.25">
      <c r="A30" s="5" t="s">
        <v>19</v>
      </c>
      <c r="B30" s="112">
        <v>100000</v>
      </c>
      <c r="C30" s="119">
        <v>110000.00000000001</v>
      </c>
      <c r="D30" s="119">
        <v>121000.00000000003</v>
      </c>
      <c r="E30" s="119">
        <v>133100.00000000003</v>
      </c>
      <c r="F30" s="119">
        <v>146410.00000000006</v>
      </c>
      <c r="H30" s="32">
        <f t="shared" si="0"/>
        <v>6.3694267515923567E-2</v>
      </c>
      <c r="I30" s="32">
        <f t="shared" si="1"/>
        <v>6.369426751592358E-2</v>
      </c>
      <c r="J30" s="32">
        <f t="shared" si="2"/>
        <v>6.369426751592358E-2</v>
      </c>
      <c r="K30" s="32">
        <f t="shared" si="3"/>
        <v>6.3694267515923567E-2</v>
      </c>
      <c r="L30" s="32">
        <f t="shared" si="4"/>
        <v>6.369426751592358E-2</v>
      </c>
    </row>
    <row r="31" spans="1:12" x14ac:dyDescent="0.25">
      <c r="A31" s="5" t="s">
        <v>20</v>
      </c>
      <c r="B31" s="112">
        <v>100000</v>
      </c>
      <c r="C31" s="119">
        <v>110000.00000000001</v>
      </c>
      <c r="D31" s="119">
        <v>121000.00000000003</v>
      </c>
      <c r="E31" s="119">
        <v>133100.00000000003</v>
      </c>
      <c r="F31" s="119">
        <v>146410.00000000006</v>
      </c>
      <c r="H31" s="32">
        <f t="shared" si="0"/>
        <v>6.3694267515923567E-2</v>
      </c>
      <c r="I31" s="32">
        <f t="shared" si="1"/>
        <v>6.369426751592358E-2</v>
      </c>
      <c r="J31" s="32">
        <f t="shared" si="2"/>
        <v>6.369426751592358E-2</v>
      </c>
      <c r="K31" s="32">
        <f t="shared" si="3"/>
        <v>6.3694267515923567E-2</v>
      </c>
      <c r="L31" s="32">
        <f t="shared" si="4"/>
        <v>6.369426751592358E-2</v>
      </c>
    </row>
    <row r="32" spans="1:12" x14ac:dyDescent="0.25">
      <c r="A32" s="5" t="s">
        <v>21</v>
      </c>
      <c r="B32" s="112">
        <v>10000</v>
      </c>
      <c r="C32" s="119">
        <v>11000</v>
      </c>
      <c r="D32" s="119">
        <v>12100.000000000002</v>
      </c>
      <c r="E32" s="119">
        <v>13310.000000000004</v>
      </c>
      <c r="F32" s="119">
        <v>14641.000000000005</v>
      </c>
      <c r="H32" s="32">
        <f t="shared" si="0"/>
        <v>6.369426751592357E-3</v>
      </c>
      <c r="I32" s="32">
        <f t="shared" si="1"/>
        <v>6.369426751592357E-3</v>
      </c>
      <c r="J32" s="32">
        <f t="shared" si="2"/>
        <v>6.369426751592357E-3</v>
      </c>
      <c r="K32" s="32">
        <f t="shared" si="3"/>
        <v>6.369426751592357E-3</v>
      </c>
      <c r="L32" s="32">
        <f t="shared" si="4"/>
        <v>6.3694267515923579E-3</v>
      </c>
    </row>
    <row r="33" spans="1:12" x14ac:dyDescent="0.25">
      <c r="A33" s="6" t="s">
        <v>41</v>
      </c>
      <c r="B33" s="33">
        <f>SUM(B27:B32)</f>
        <v>460000</v>
      </c>
      <c r="C33" s="33">
        <f t="shared" ref="C33:F33" si="7">SUM(C27:C32)</f>
        <v>506000.00000000006</v>
      </c>
      <c r="D33" s="33">
        <f t="shared" si="7"/>
        <v>556600.00000000012</v>
      </c>
      <c r="E33" s="33">
        <f t="shared" si="7"/>
        <v>612260.00000000012</v>
      </c>
      <c r="F33" s="33">
        <f t="shared" si="7"/>
        <v>673486.00000000023</v>
      </c>
      <c r="H33" s="32">
        <f t="shared" si="0"/>
        <v>0.2929936305732484</v>
      </c>
      <c r="I33" s="32">
        <f t="shared" si="1"/>
        <v>0.29299363057324845</v>
      </c>
      <c r="J33" s="32">
        <f t="shared" si="2"/>
        <v>0.29299363057324845</v>
      </c>
      <c r="K33" s="32">
        <f t="shared" si="3"/>
        <v>0.2929936305732484</v>
      </c>
      <c r="L33" s="32">
        <f t="shared" si="4"/>
        <v>0.29299363057324845</v>
      </c>
    </row>
    <row r="34" spans="1:12" x14ac:dyDescent="0.25">
      <c r="A34" s="6" t="s">
        <v>22</v>
      </c>
      <c r="B34" s="33"/>
      <c r="C34" s="33"/>
      <c r="D34" s="33"/>
      <c r="E34" s="33"/>
      <c r="F34" s="33"/>
      <c r="H34" s="32"/>
      <c r="I34" s="32"/>
      <c r="J34" s="32"/>
      <c r="K34" s="32"/>
      <c r="L34" s="32"/>
    </row>
    <row r="35" spans="1:12" x14ac:dyDescent="0.25">
      <c r="A35" s="5" t="s">
        <v>23</v>
      </c>
      <c r="B35" s="112">
        <v>200000</v>
      </c>
      <c r="C35" s="119">
        <v>220000.00000000003</v>
      </c>
      <c r="D35" s="119">
        <v>242000.00000000006</v>
      </c>
      <c r="E35" s="119">
        <v>266200.00000000006</v>
      </c>
      <c r="F35" s="119">
        <v>292820.00000000012</v>
      </c>
      <c r="H35" s="32">
        <f t="shared" si="0"/>
        <v>0.12738853503184713</v>
      </c>
      <c r="I35" s="32">
        <f t="shared" si="1"/>
        <v>0.12738853503184716</v>
      </c>
      <c r="J35" s="32">
        <f t="shared" si="2"/>
        <v>0.12738853503184716</v>
      </c>
      <c r="K35" s="32">
        <f t="shared" si="3"/>
        <v>0.12738853503184713</v>
      </c>
      <c r="L35" s="32">
        <f t="shared" si="4"/>
        <v>0.12738853503184716</v>
      </c>
    </row>
    <row r="36" spans="1:12" x14ac:dyDescent="0.25">
      <c r="A36" s="5" t="s">
        <v>24</v>
      </c>
      <c r="B36" s="112">
        <v>100000</v>
      </c>
      <c r="C36" s="119">
        <v>110000.00000000001</v>
      </c>
      <c r="D36" s="119">
        <v>121000.00000000003</v>
      </c>
      <c r="E36" s="119">
        <v>133100.00000000003</v>
      </c>
      <c r="F36" s="119">
        <v>146410.00000000006</v>
      </c>
      <c r="H36" s="32">
        <f t="shared" si="0"/>
        <v>6.3694267515923567E-2</v>
      </c>
      <c r="I36" s="32">
        <f t="shared" si="1"/>
        <v>6.369426751592358E-2</v>
      </c>
      <c r="J36" s="32">
        <f t="shared" si="2"/>
        <v>6.369426751592358E-2</v>
      </c>
      <c r="K36" s="32">
        <f t="shared" si="3"/>
        <v>6.3694267515923567E-2</v>
      </c>
      <c r="L36" s="32">
        <f t="shared" si="4"/>
        <v>6.369426751592358E-2</v>
      </c>
    </row>
    <row r="37" spans="1:12" x14ac:dyDescent="0.25">
      <c r="A37" s="5" t="s">
        <v>25</v>
      </c>
      <c r="B37" s="112">
        <v>10000</v>
      </c>
      <c r="C37" s="119">
        <v>11000</v>
      </c>
      <c r="D37" s="119">
        <v>12100.000000000002</v>
      </c>
      <c r="E37" s="119">
        <v>13310.000000000004</v>
      </c>
      <c r="F37" s="119">
        <v>14641.000000000005</v>
      </c>
      <c r="H37" s="32">
        <f t="shared" si="0"/>
        <v>6.369426751592357E-3</v>
      </c>
      <c r="I37" s="32">
        <f t="shared" si="1"/>
        <v>6.369426751592357E-3</v>
      </c>
      <c r="J37" s="32">
        <f t="shared" si="2"/>
        <v>6.369426751592357E-3</v>
      </c>
      <c r="K37" s="32">
        <f t="shared" si="3"/>
        <v>6.369426751592357E-3</v>
      </c>
      <c r="L37" s="32">
        <f t="shared" si="4"/>
        <v>6.3694267515923579E-3</v>
      </c>
    </row>
    <row r="38" spans="1:12" x14ac:dyDescent="0.25">
      <c r="A38" s="6" t="s">
        <v>88</v>
      </c>
      <c r="B38" s="33">
        <f>SUM(B35:B37)</f>
        <v>310000</v>
      </c>
      <c r="C38" s="33">
        <f t="shared" ref="C38:F38" si="8">SUM(C35:C37)</f>
        <v>341000.00000000006</v>
      </c>
      <c r="D38" s="33">
        <f t="shared" si="8"/>
        <v>375100.00000000012</v>
      </c>
      <c r="E38" s="33">
        <f t="shared" si="8"/>
        <v>412610.00000000012</v>
      </c>
      <c r="F38" s="33">
        <f t="shared" si="8"/>
        <v>453871.00000000017</v>
      </c>
      <c r="H38" s="32">
        <f t="shared" si="0"/>
        <v>0.19745222929936307</v>
      </c>
      <c r="I38" s="32">
        <f t="shared" si="1"/>
        <v>0.1974522292993631</v>
      </c>
      <c r="J38" s="32">
        <f t="shared" si="2"/>
        <v>0.1974522292993631</v>
      </c>
      <c r="K38" s="32">
        <f t="shared" si="3"/>
        <v>0.19745222929936307</v>
      </c>
      <c r="L38" s="32">
        <f t="shared" si="4"/>
        <v>0.1974522292993631</v>
      </c>
    </row>
    <row r="39" spans="1:12" ht="15.75" x14ac:dyDescent="0.25">
      <c r="A39" s="8" t="s">
        <v>89</v>
      </c>
      <c r="B39" s="33">
        <f>B33+B38</f>
        <v>770000</v>
      </c>
      <c r="C39" s="33">
        <f t="shared" ref="C39:F39" si="9">C33+C38</f>
        <v>847000.00000000012</v>
      </c>
      <c r="D39" s="33">
        <f t="shared" si="9"/>
        <v>931700.00000000023</v>
      </c>
      <c r="E39" s="33">
        <f t="shared" si="9"/>
        <v>1024870.0000000002</v>
      </c>
      <c r="F39" s="33">
        <f t="shared" si="9"/>
        <v>1127357.0000000005</v>
      </c>
      <c r="H39" s="32">
        <f t="shared" si="0"/>
        <v>0.49044585987261147</v>
      </c>
      <c r="I39" s="32">
        <f t="shared" si="1"/>
        <v>0.49044585987261152</v>
      </c>
      <c r="J39" s="32">
        <f t="shared" si="2"/>
        <v>0.49044585987261152</v>
      </c>
      <c r="K39" s="32">
        <f t="shared" si="3"/>
        <v>0.49044585987261147</v>
      </c>
      <c r="L39" s="32">
        <f t="shared" si="4"/>
        <v>0.49044585987261158</v>
      </c>
    </row>
    <row r="40" spans="1:12" x14ac:dyDescent="0.25">
      <c r="A40" s="6" t="s">
        <v>26</v>
      </c>
      <c r="B40" s="120"/>
      <c r="C40" s="120"/>
      <c r="D40" s="120"/>
      <c r="E40" s="120"/>
      <c r="F40" s="120"/>
      <c r="H40" s="32"/>
      <c r="I40" s="32"/>
      <c r="J40" s="32"/>
      <c r="K40" s="32"/>
      <c r="L40" s="32"/>
    </row>
    <row r="41" spans="1:12" x14ac:dyDescent="0.25">
      <c r="A41" s="5" t="s">
        <v>27</v>
      </c>
      <c r="B41" s="112">
        <v>600000</v>
      </c>
      <c r="C41" s="119">
        <v>660000</v>
      </c>
      <c r="D41" s="119">
        <v>726000.00000000012</v>
      </c>
      <c r="E41" s="119">
        <v>798600.00000000023</v>
      </c>
      <c r="F41" s="119">
        <v>878460.00000000035</v>
      </c>
      <c r="H41" s="32">
        <f t="shared" si="0"/>
        <v>0.38216560509554143</v>
      </c>
      <c r="I41" s="32">
        <f t="shared" si="1"/>
        <v>0.38216560509554143</v>
      </c>
      <c r="J41" s="32">
        <f t="shared" si="2"/>
        <v>0.38216560509554143</v>
      </c>
      <c r="K41" s="32">
        <f t="shared" si="3"/>
        <v>0.38216560509554143</v>
      </c>
      <c r="L41" s="32">
        <f t="shared" si="4"/>
        <v>0.38216560509554148</v>
      </c>
    </row>
    <row r="42" spans="1:12" x14ac:dyDescent="0.25">
      <c r="A42" s="5" t="s">
        <v>28</v>
      </c>
      <c r="B42" s="112">
        <v>150000</v>
      </c>
      <c r="C42" s="119">
        <v>165000</v>
      </c>
      <c r="D42" s="119">
        <v>181500.00000000003</v>
      </c>
      <c r="E42" s="119">
        <v>199650.00000000006</v>
      </c>
      <c r="F42" s="119">
        <v>219615.00000000009</v>
      </c>
      <c r="H42" s="32">
        <f t="shared" si="0"/>
        <v>9.5541401273885357E-2</v>
      </c>
      <c r="I42" s="32">
        <f t="shared" si="1"/>
        <v>9.5541401273885357E-2</v>
      </c>
      <c r="J42" s="32">
        <f t="shared" si="2"/>
        <v>9.5541401273885357E-2</v>
      </c>
      <c r="K42" s="32">
        <f t="shared" si="3"/>
        <v>9.5541401273885357E-2</v>
      </c>
      <c r="L42" s="32">
        <f t="shared" si="4"/>
        <v>9.5541401273885371E-2</v>
      </c>
    </row>
    <row r="43" spans="1:12" x14ac:dyDescent="0.25">
      <c r="A43" s="5" t="s">
        <v>29</v>
      </c>
      <c r="B43" s="112">
        <v>50000</v>
      </c>
      <c r="C43" s="119">
        <v>55000.000000000007</v>
      </c>
      <c r="D43" s="119">
        <v>60500.000000000015</v>
      </c>
      <c r="E43" s="119">
        <v>66550.000000000015</v>
      </c>
      <c r="F43" s="119">
        <v>73205.000000000029</v>
      </c>
      <c r="H43" s="32">
        <f t="shared" si="0"/>
        <v>3.1847133757961783E-2</v>
      </c>
      <c r="I43" s="32">
        <f t="shared" si="1"/>
        <v>3.184713375796179E-2</v>
      </c>
      <c r="J43" s="32">
        <f t="shared" si="2"/>
        <v>3.184713375796179E-2</v>
      </c>
      <c r="K43" s="32">
        <f t="shared" si="3"/>
        <v>3.1847133757961783E-2</v>
      </c>
      <c r="L43" s="32">
        <f t="shared" si="4"/>
        <v>3.184713375796179E-2</v>
      </c>
    </row>
    <row r="44" spans="1:12" x14ac:dyDescent="0.25">
      <c r="A44" s="6" t="s">
        <v>42</v>
      </c>
      <c r="B44" s="33">
        <f>SUM(B41:B43)</f>
        <v>800000</v>
      </c>
      <c r="C44" s="33">
        <f t="shared" ref="C44:F44" si="10">SUM(C41:C43)</f>
        <v>880000</v>
      </c>
      <c r="D44" s="33">
        <f t="shared" si="10"/>
        <v>968000.00000000012</v>
      </c>
      <c r="E44" s="33">
        <f t="shared" si="10"/>
        <v>1064800.0000000002</v>
      </c>
      <c r="F44" s="33">
        <f t="shared" si="10"/>
        <v>1171280.0000000005</v>
      </c>
      <c r="H44" s="32">
        <f t="shared" si="0"/>
        <v>0.50955414012738853</v>
      </c>
      <c r="I44" s="32">
        <f t="shared" si="1"/>
        <v>0.50955414012738853</v>
      </c>
      <c r="J44" s="32">
        <f t="shared" si="2"/>
        <v>0.50955414012738853</v>
      </c>
      <c r="K44" s="32">
        <f t="shared" si="3"/>
        <v>0.50955414012738853</v>
      </c>
      <c r="L44" s="32">
        <f t="shared" si="4"/>
        <v>0.50955414012738864</v>
      </c>
    </row>
    <row r="45" spans="1:12" ht="15.75" x14ac:dyDescent="0.25">
      <c r="A45" s="8" t="s">
        <v>38</v>
      </c>
      <c r="B45" s="33">
        <f>B39+B44</f>
        <v>1570000</v>
      </c>
      <c r="C45" s="33">
        <f t="shared" ref="C45:F45" si="11">C39+C44</f>
        <v>1727000</v>
      </c>
      <c r="D45" s="33">
        <f t="shared" si="11"/>
        <v>1899700.0000000005</v>
      </c>
      <c r="E45" s="33">
        <f t="shared" si="11"/>
        <v>2089670.0000000005</v>
      </c>
      <c r="F45" s="33">
        <f t="shared" si="11"/>
        <v>2298637.0000000009</v>
      </c>
      <c r="H45" s="32">
        <f t="shared" si="0"/>
        <v>1</v>
      </c>
      <c r="I45" s="32">
        <f t="shared" si="1"/>
        <v>1</v>
      </c>
      <c r="J45" s="32">
        <f t="shared" si="2"/>
        <v>1.0000000000000002</v>
      </c>
      <c r="K45" s="32">
        <f t="shared" si="3"/>
        <v>1</v>
      </c>
      <c r="L45" s="32">
        <f t="shared" si="4"/>
        <v>1.0000000000000002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4:F12 B15:F23 B27:F32 B35:F37 B41:F43">
      <formula1>0</formula1>
      <formula2>1000000000000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workbookViewId="0">
      <selection activeCell="B4" sqref="B4"/>
    </sheetView>
  </sheetViews>
  <sheetFormatPr defaultRowHeight="15" x14ac:dyDescent="0.25"/>
  <cols>
    <col min="1" max="1" width="38" style="4" bestFit="1" customWidth="1"/>
    <col min="2" max="6" width="10.5703125" style="4" bestFit="1" customWidth="1"/>
    <col min="7" max="7" width="9.140625" style="4"/>
    <col min="8" max="12" width="8.140625" style="4" bestFit="1" customWidth="1"/>
    <col min="13" max="16384" width="9.140625" style="4"/>
  </cols>
  <sheetData>
    <row r="1" spans="1:12" ht="15.75" x14ac:dyDescent="0.25">
      <c r="A1" s="2" t="s">
        <v>0</v>
      </c>
      <c r="B1" s="2">
        <v>2018</v>
      </c>
      <c r="C1" s="2">
        <v>2019</v>
      </c>
      <c r="D1" s="2">
        <v>2020</v>
      </c>
      <c r="E1" s="2">
        <v>2021</v>
      </c>
      <c r="F1" s="2">
        <v>2022</v>
      </c>
      <c r="G1" s="30"/>
      <c r="H1" s="2">
        <v>2018</v>
      </c>
      <c r="I1" s="2">
        <v>2019</v>
      </c>
      <c r="J1" s="2">
        <v>2020</v>
      </c>
      <c r="K1" s="2">
        <v>2021</v>
      </c>
      <c r="L1" s="2">
        <v>2022</v>
      </c>
    </row>
    <row r="2" spans="1:12" ht="15.75" x14ac:dyDescent="0.25">
      <c r="A2" s="3" t="s">
        <v>1</v>
      </c>
      <c r="B2" s="31"/>
      <c r="C2" s="31"/>
      <c r="D2" s="31"/>
      <c r="E2" s="31"/>
      <c r="F2" s="31"/>
      <c r="H2" s="31"/>
      <c r="I2" s="31"/>
      <c r="J2" s="31"/>
      <c r="K2" s="31"/>
      <c r="L2" s="31"/>
    </row>
    <row r="3" spans="1:12" x14ac:dyDescent="0.25">
      <c r="A3" s="6" t="s">
        <v>2</v>
      </c>
      <c r="B3" s="31"/>
      <c r="C3" s="31"/>
      <c r="D3" s="31"/>
      <c r="E3" s="31"/>
      <c r="F3" s="31"/>
      <c r="H3" s="31"/>
      <c r="I3" s="31"/>
      <c r="J3" s="31"/>
      <c r="K3" s="31"/>
      <c r="L3" s="31"/>
    </row>
    <row r="4" spans="1:12" x14ac:dyDescent="0.25">
      <c r="A4" s="5" t="s">
        <v>31</v>
      </c>
      <c r="B4" s="112">
        <v>100000</v>
      </c>
      <c r="C4" s="119">
        <v>110000.00000000001</v>
      </c>
      <c r="D4" s="119">
        <v>121000.00000000003</v>
      </c>
      <c r="E4" s="119">
        <v>133100.00000000003</v>
      </c>
      <c r="F4" s="119">
        <v>146410.00000000006</v>
      </c>
      <c r="H4" s="32">
        <f>B4/B4</f>
        <v>1</v>
      </c>
      <c r="I4" s="32">
        <f>C4/$B4</f>
        <v>1.1000000000000001</v>
      </c>
      <c r="J4" s="32">
        <f>D4/$B4</f>
        <v>1.2100000000000002</v>
      </c>
      <c r="K4" s="32">
        <f t="shared" ref="K4:L19" si="0">E4/$B4</f>
        <v>1.3310000000000002</v>
      </c>
      <c r="L4" s="32">
        <f t="shared" si="0"/>
        <v>1.4641000000000006</v>
      </c>
    </row>
    <row r="5" spans="1:12" x14ac:dyDescent="0.25">
      <c r="A5" s="5" t="s">
        <v>275</v>
      </c>
      <c r="B5" s="112">
        <v>50000</v>
      </c>
      <c r="C5" s="119">
        <v>55000.000000000007</v>
      </c>
      <c r="D5" s="119">
        <v>60500.000000000015</v>
      </c>
      <c r="E5" s="119">
        <v>66550.000000000015</v>
      </c>
      <c r="F5" s="119">
        <v>73205.000000000029</v>
      </c>
      <c r="H5" s="32">
        <f t="shared" ref="H5:H45" si="1">B5/B5</f>
        <v>1</v>
      </c>
      <c r="I5" s="32">
        <f t="shared" ref="I5:I45" si="2">C5/$B5</f>
        <v>1.1000000000000001</v>
      </c>
      <c r="J5" s="32">
        <f t="shared" ref="J5:L45" si="3">D5/$B5</f>
        <v>1.2100000000000002</v>
      </c>
      <c r="K5" s="32">
        <f t="shared" si="0"/>
        <v>1.3310000000000002</v>
      </c>
      <c r="L5" s="32">
        <f t="shared" si="0"/>
        <v>1.4641000000000006</v>
      </c>
    </row>
    <row r="6" spans="1:12" x14ac:dyDescent="0.25">
      <c r="A6" s="5" t="s">
        <v>3</v>
      </c>
      <c r="B6" s="112">
        <v>50000</v>
      </c>
      <c r="C6" s="119">
        <v>55000.000000000007</v>
      </c>
      <c r="D6" s="119">
        <v>60500.000000000015</v>
      </c>
      <c r="E6" s="119">
        <v>66550.000000000015</v>
      </c>
      <c r="F6" s="119">
        <v>73205.000000000029</v>
      </c>
      <c r="H6" s="32">
        <f t="shared" si="1"/>
        <v>1</v>
      </c>
      <c r="I6" s="32">
        <f t="shared" si="2"/>
        <v>1.1000000000000001</v>
      </c>
      <c r="J6" s="32">
        <f t="shared" si="3"/>
        <v>1.2100000000000002</v>
      </c>
      <c r="K6" s="32">
        <f t="shared" si="0"/>
        <v>1.3310000000000002</v>
      </c>
      <c r="L6" s="32">
        <f t="shared" si="0"/>
        <v>1.4641000000000006</v>
      </c>
    </row>
    <row r="7" spans="1:12" x14ac:dyDescent="0.25">
      <c r="A7" s="5" t="s">
        <v>11</v>
      </c>
      <c r="B7" s="112">
        <v>100000</v>
      </c>
      <c r="C7" s="119">
        <v>110000.00000000001</v>
      </c>
      <c r="D7" s="119">
        <v>121000.00000000003</v>
      </c>
      <c r="E7" s="119">
        <v>133100.00000000003</v>
      </c>
      <c r="F7" s="119">
        <v>146410.00000000006</v>
      </c>
      <c r="H7" s="32">
        <f t="shared" si="1"/>
        <v>1</v>
      </c>
      <c r="I7" s="32">
        <f t="shared" si="2"/>
        <v>1.1000000000000001</v>
      </c>
      <c r="J7" s="32">
        <f t="shared" si="3"/>
        <v>1.2100000000000002</v>
      </c>
      <c r="K7" s="32">
        <f t="shared" si="0"/>
        <v>1.3310000000000002</v>
      </c>
      <c r="L7" s="32">
        <f t="shared" si="0"/>
        <v>1.4641000000000006</v>
      </c>
    </row>
    <row r="8" spans="1:12" x14ac:dyDescent="0.25">
      <c r="A8" s="5" t="s">
        <v>35</v>
      </c>
      <c r="B8" s="112">
        <v>100000</v>
      </c>
      <c r="C8" s="119">
        <v>110000.00000000001</v>
      </c>
      <c r="D8" s="119">
        <v>121000.00000000003</v>
      </c>
      <c r="E8" s="119">
        <v>133100.00000000003</v>
      </c>
      <c r="F8" s="119">
        <v>146410.00000000006</v>
      </c>
      <c r="H8" s="32">
        <f t="shared" si="1"/>
        <v>1</v>
      </c>
      <c r="I8" s="32">
        <f t="shared" si="2"/>
        <v>1.1000000000000001</v>
      </c>
      <c r="J8" s="32">
        <f t="shared" si="3"/>
        <v>1.2100000000000002</v>
      </c>
      <c r="K8" s="32">
        <f t="shared" si="0"/>
        <v>1.3310000000000002</v>
      </c>
      <c r="L8" s="32">
        <f t="shared" si="0"/>
        <v>1.4641000000000006</v>
      </c>
    </row>
    <row r="9" spans="1:12" x14ac:dyDescent="0.25">
      <c r="A9" s="5" t="s">
        <v>36</v>
      </c>
      <c r="B9" s="112">
        <v>100000</v>
      </c>
      <c r="C9" s="119">
        <v>110000.00000000001</v>
      </c>
      <c r="D9" s="119">
        <v>121000.00000000003</v>
      </c>
      <c r="E9" s="119">
        <v>133100.00000000003</v>
      </c>
      <c r="F9" s="119">
        <v>146410.00000000006</v>
      </c>
      <c r="H9" s="32">
        <f t="shared" si="1"/>
        <v>1</v>
      </c>
      <c r="I9" s="32">
        <f t="shared" si="2"/>
        <v>1.1000000000000001</v>
      </c>
      <c r="J9" s="32">
        <f t="shared" si="3"/>
        <v>1.2100000000000002</v>
      </c>
      <c r="K9" s="32">
        <f t="shared" si="0"/>
        <v>1.3310000000000002</v>
      </c>
      <c r="L9" s="32">
        <f t="shared" si="0"/>
        <v>1.4641000000000006</v>
      </c>
    </row>
    <row r="10" spans="1:12" x14ac:dyDescent="0.25">
      <c r="A10" s="5" t="s">
        <v>4</v>
      </c>
      <c r="B10" s="112">
        <v>100000</v>
      </c>
      <c r="C10" s="119">
        <v>110000.00000000001</v>
      </c>
      <c r="D10" s="119">
        <v>121000.00000000003</v>
      </c>
      <c r="E10" s="119">
        <v>133100.00000000003</v>
      </c>
      <c r="F10" s="119">
        <v>146410.00000000006</v>
      </c>
      <c r="H10" s="32">
        <f t="shared" si="1"/>
        <v>1</v>
      </c>
      <c r="I10" s="32">
        <f t="shared" si="2"/>
        <v>1.1000000000000001</v>
      </c>
      <c r="J10" s="32">
        <f t="shared" si="3"/>
        <v>1.2100000000000002</v>
      </c>
      <c r="K10" s="32">
        <f t="shared" si="0"/>
        <v>1.3310000000000002</v>
      </c>
      <c r="L10" s="32">
        <f t="shared" si="0"/>
        <v>1.4641000000000006</v>
      </c>
    </row>
    <row r="11" spans="1:12" x14ac:dyDescent="0.25">
      <c r="A11" s="5" t="s">
        <v>5</v>
      </c>
      <c r="B11" s="112">
        <v>100000</v>
      </c>
      <c r="C11" s="119">
        <v>110000.00000000001</v>
      </c>
      <c r="D11" s="119">
        <v>121000.00000000003</v>
      </c>
      <c r="E11" s="119">
        <v>133100.00000000003</v>
      </c>
      <c r="F11" s="119">
        <v>146410.00000000006</v>
      </c>
      <c r="H11" s="32">
        <f t="shared" si="1"/>
        <v>1</v>
      </c>
      <c r="I11" s="32">
        <f t="shared" si="2"/>
        <v>1.1000000000000001</v>
      </c>
      <c r="J11" s="32">
        <f t="shared" si="3"/>
        <v>1.2100000000000002</v>
      </c>
      <c r="K11" s="32">
        <f t="shared" si="0"/>
        <v>1.3310000000000002</v>
      </c>
      <c r="L11" s="32">
        <f t="shared" si="0"/>
        <v>1.4641000000000006</v>
      </c>
    </row>
    <row r="12" spans="1:12" x14ac:dyDescent="0.25">
      <c r="A12" s="5" t="s">
        <v>6</v>
      </c>
      <c r="B12" s="112">
        <v>10000</v>
      </c>
      <c r="C12" s="119">
        <v>11000</v>
      </c>
      <c r="D12" s="119">
        <v>12100.000000000002</v>
      </c>
      <c r="E12" s="119">
        <v>13310.000000000004</v>
      </c>
      <c r="F12" s="119">
        <v>14641.000000000005</v>
      </c>
      <c r="H12" s="32">
        <f t="shared" si="1"/>
        <v>1</v>
      </c>
      <c r="I12" s="32">
        <f t="shared" si="2"/>
        <v>1.1000000000000001</v>
      </c>
      <c r="J12" s="32">
        <f t="shared" si="3"/>
        <v>1.2100000000000002</v>
      </c>
      <c r="K12" s="32">
        <f t="shared" si="0"/>
        <v>1.3310000000000004</v>
      </c>
      <c r="L12" s="32">
        <f t="shared" si="0"/>
        <v>1.4641000000000006</v>
      </c>
    </row>
    <row r="13" spans="1:12" x14ac:dyDescent="0.25">
      <c r="A13" s="6" t="s">
        <v>39</v>
      </c>
      <c r="B13" s="33">
        <f>SUM(B4:B12)</f>
        <v>710000</v>
      </c>
      <c r="C13" s="33">
        <f t="shared" ref="C13:F13" si="4">SUM(C4:C12)</f>
        <v>781000.00000000012</v>
      </c>
      <c r="D13" s="33">
        <f t="shared" si="4"/>
        <v>859100.00000000012</v>
      </c>
      <c r="E13" s="33">
        <f t="shared" si="4"/>
        <v>945010.00000000012</v>
      </c>
      <c r="F13" s="33">
        <f t="shared" si="4"/>
        <v>1039511.0000000002</v>
      </c>
      <c r="H13" s="32">
        <f t="shared" si="1"/>
        <v>1</v>
      </c>
      <c r="I13" s="32">
        <f t="shared" si="2"/>
        <v>1.1000000000000001</v>
      </c>
      <c r="J13" s="32">
        <f t="shared" si="3"/>
        <v>1.2100000000000002</v>
      </c>
      <c r="K13" s="32">
        <f t="shared" si="0"/>
        <v>1.3310000000000002</v>
      </c>
      <c r="L13" s="32">
        <f t="shared" si="0"/>
        <v>1.4641000000000004</v>
      </c>
    </row>
    <row r="14" spans="1:12" x14ac:dyDescent="0.25">
      <c r="A14" s="6" t="s">
        <v>7</v>
      </c>
      <c r="B14" s="33"/>
      <c r="C14" s="33"/>
      <c r="D14" s="33"/>
      <c r="E14" s="33"/>
      <c r="F14" s="33"/>
      <c r="H14" s="32"/>
      <c r="I14" s="32"/>
      <c r="J14" s="32"/>
      <c r="K14" s="32"/>
      <c r="L14" s="32"/>
    </row>
    <row r="15" spans="1:12" x14ac:dyDescent="0.25">
      <c r="A15" s="5" t="s">
        <v>8</v>
      </c>
      <c r="B15" s="112">
        <v>300000</v>
      </c>
      <c r="C15" s="119">
        <v>330000</v>
      </c>
      <c r="D15" s="119">
        <v>363000.00000000006</v>
      </c>
      <c r="E15" s="119">
        <v>399300.00000000012</v>
      </c>
      <c r="F15" s="119">
        <v>439230.00000000017</v>
      </c>
      <c r="H15" s="32">
        <f t="shared" si="1"/>
        <v>1</v>
      </c>
      <c r="I15" s="32">
        <f t="shared" si="2"/>
        <v>1.1000000000000001</v>
      </c>
      <c r="J15" s="32">
        <f t="shared" si="3"/>
        <v>1.2100000000000002</v>
      </c>
      <c r="K15" s="32">
        <f t="shared" si="0"/>
        <v>1.3310000000000004</v>
      </c>
      <c r="L15" s="32">
        <f t="shared" si="0"/>
        <v>1.4641000000000006</v>
      </c>
    </row>
    <row r="16" spans="1:12" x14ac:dyDescent="0.25">
      <c r="A16" s="5" t="s">
        <v>9</v>
      </c>
      <c r="B16" s="112">
        <v>200000</v>
      </c>
      <c r="C16" s="119">
        <v>220000.00000000003</v>
      </c>
      <c r="D16" s="119">
        <v>242000.00000000006</v>
      </c>
      <c r="E16" s="119">
        <v>266200.00000000006</v>
      </c>
      <c r="F16" s="119">
        <v>292820.00000000012</v>
      </c>
      <c r="H16" s="32">
        <f t="shared" si="1"/>
        <v>1</v>
      </c>
      <c r="I16" s="32">
        <f t="shared" si="2"/>
        <v>1.1000000000000001</v>
      </c>
      <c r="J16" s="32">
        <f t="shared" si="3"/>
        <v>1.2100000000000002</v>
      </c>
      <c r="K16" s="32">
        <f t="shared" si="0"/>
        <v>1.3310000000000002</v>
      </c>
      <c r="L16" s="32">
        <f t="shared" si="0"/>
        <v>1.4641000000000006</v>
      </c>
    </row>
    <row r="17" spans="1:12" x14ac:dyDescent="0.25">
      <c r="A17" s="5" t="s">
        <v>10</v>
      </c>
      <c r="B17" s="112">
        <v>100000</v>
      </c>
      <c r="C17" s="119">
        <v>110000.00000000001</v>
      </c>
      <c r="D17" s="119">
        <v>121000.00000000003</v>
      </c>
      <c r="E17" s="119">
        <v>133100.00000000003</v>
      </c>
      <c r="F17" s="119">
        <v>146410.00000000006</v>
      </c>
      <c r="H17" s="32">
        <f t="shared" si="1"/>
        <v>1</v>
      </c>
      <c r="I17" s="32">
        <f t="shared" si="2"/>
        <v>1.1000000000000001</v>
      </c>
      <c r="J17" s="32">
        <f t="shared" si="3"/>
        <v>1.2100000000000002</v>
      </c>
      <c r="K17" s="32">
        <f t="shared" si="0"/>
        <v>1.3310000000000002</v>
      </c>
      <c r="L17" s="32">
        <f t="shared" si="0"/>
        <v>1.4641000000000006</v>
      </c>
    </row>
    <row r="18" spans="1:12" x14ac:dyDescent="0.25">
      <c r="A18" s="5" t="s">
        <v>12</v>
      </c>
      <c r="B18" s="112">
        <v>100000</v>
      </c>
      <c r="C18" s="119">
        <v>110000.00000000001</v>
      </c>
      <c r="D18" s="119">
        <v>121000.00000000003</v>
      </c>
      <c r="E18" s="119">
        <v>133100.00000000003</v>
      </c>
      <c r="F18" s="119">
        <v>146410.00000000006</v>
      </c>
      <c r="H18" s="32">
        <f t="shared" si="1"/>
        <v>1</v>
      </c>
      <c r="I18" s="32">
        <f t="shared" si="2"/>
        <v>1.1000000000000001</v>
      </c>
      <c r="J18" s="32">
        <f t="shared" si="3"/>
        <v>1.2100000000000002</v>
      </c>
      <c r="K18" s="32">
        <f t="shared" si="0"/>
        <v>1.3310000000000002</v>
      </c>
      <c r="L18" s="32">
        <f t="shared" si="0"/>
        <v>1.4641000000000006</v>
      </c>
    </row>
    <row r="19" spans="1:12" x14ac:dyDescent="0.25">
      <c r="A19" s="5" t="s">
        <v>33</v>
      </c>
      <c r="B19" s="112">
        <v>100000</v>
      </c>
      <c r="C19" s="119">
        <v>110000.00000000001</v>
      </c>
      <c r="D19" s="119">
        <v>121000.00000000003</v>
      </c>
      <c r="E19" s="119">
        <v>133100.00000000003</v>
      </c>
      <c r="F19" s="119">
        <v>146410.00000000006</v>
      </c>
      <c r="H19" s="32">
        <f t="shared" si="1"/>
        <v>1</v>
      </c>
      <c r="I19" s="32">
        <f t="shared" si="2"/>
        <v>1.1000000000000001</v>
      </c>
      <c r="J19" s="32">
        <f t="shared" si="3"/>
        <v>1.2100000000000002</v>
      </c>
      <c r="K19" s="32">
        <f t="shared" si="0"/>
        <v>1.3310000000000002</v>
      </c>
      <c r="L19" s="32">
        <f t="shared" si="0"/>
        <v>1.4641000000000006</v>
      </c>
    </row>
    <row r="20" spans="1:12" x14ac:dyDescent="0.25">
      <c r="A20" s="5" t="s">
        <v>34</v>
      </c>
      <c r="B20" s="112">
        <v>25000</v>
      </c>
      <c r="C20" s="119">
        <v>27500.000000000004</v>
      </c>
      <c r="D20" s="119">
        <v>30250.000000000007</v>
      </c>
      <c r="E20" s="119">
        <v>33275.000000000007</v>
      </c>
      <c r="F20" s="119">
        <v>36602.500000000015</v>
      </c>
      <c r="H20" s="32">
        <f t="shared" si="1"/>
        <v>1</v>
      </c>
      <c r="I20" s="32">
        <f t="shared" si="2"/>
        <v>1.1000000000000001</v>
      </c>
      <c r="J20" s="32">
        <f t="shared" si="3"/>
        <v>1.2100000000000002</v>
      </c>
      <c r="K20" s="32">
        <f t="shared" si="3"/>
        <v>1.3310000000000002</v>
      </c>
      <c r="L20" s="32">
        <f t="shared" si="3"/>
        <v>1.4641000000000006</v>
      </c>
    </row>
    <row r="21" spans="1:12" x14ac:dyDescent="0.25">
      <c r="A21" s="5" t="s">
        <v>32</v>
      </c>
      <c r="B21" s="112">
        <v>25000</v>
      </c>
      <c r="C21" s="119">
        <v>27500.000000000004</v>
      </c>
      <c r="D21" s="119">
        <v>30250.000000000007</v>
      </c>
      <c r="E21" s="119">
        <v>33275.000000000007</v>
      </c>
      <c r="F21" s="119">
        <v>36602.500000000015</v>
      </c>
      <c r="H21" s="32">
        <f t="shared" si="1"/>
        <v>1</v>
      </c>
      <c r="I21" s="32">
        <f t="shared" si="2"/>
        <v>1.1000000000000001</v>
      </c>
      <c r="J21" s="32">
        <f t="shared" si="3"/>
        <v>1.2100000000000002</v>
      </c>
      <c r="K21" s="32">
        <f t="shared" si="3"/>
        <v>1.3310000000000002</v>
      </c>
      <c r="L21" s="32">
        <f t="shared" si="3"/>
        <v>1.4641000000000006</v>
      </c>
    </row>
    <row r="22" spans="1:12" x14ac:dyDescent="0.25">
      <c r="A22" s="5" t="s">
        <v>13</v>
      </c>
      <c r="B22" s="112">
        <v>10000</v>
      </c>
      <c r="C22" s="119">
        <v>11000</v>
      </c>
      <c r="D22" s="119">
        <v>12100.000000000002</v>
      </c>
      <c r="E22" s="119">
        <v>13310.000000000004</v>
      </c>
      <c r="F22" s="119">
        <v>14641.000000000005</v>
      </c>
      <c r="H22" s="32">
        <f t="shared" si="1"/>
        <v>1</v>
      </c>
      <c r="I22" s="32">
        <f t="shared" si="2"/>
        <v>1.1000000000000001</v>
      </c>
      <c r="J22" s="32">
        <f t="shared" si="3"/>
        <v>1.2100000000000002</v>
      </c>
      <c r="K22" s="32">
        <f t="shared" si="3"/>
        <v>1.3310000000000004</v>
      </c>
      <c r="L22" s="32">
        <f t="shared" si="3"/>
        <v>1.4641000000000006</v>
      </c>
    </row>
    <row r="23" spans="1:12" x14ac:dyDescent="0.25">
      <c r="A23" s="6" t="s">
        <v>40</v>
      </c>
      <c r="B23" s="119">
        <v>860000</v>
      </c>
      <c r="C23" s="119">
        <v>946000</v>
      </c>
      <c r="D23" s="119">
        <v>1040600.0000000001</v>
      </c>
      <c r="E23" s="119">
        <v>1144660.0000000002</v>
      </c>
      <c r="F23" s="119">
        <v>1259126.0000000002</v>
      </c>
      <c r="H23" s="32">
        <f t="shared" si="1"/>
        <v>1</v>
      </c>
      <c r="I23" s="32">
        <f t="shared" si="2"/>
        <v>1.1000000000000001</v>
      </c>
      <c r="J23" s="32">
        <f t="shared" si="3"/>
        <v>1.2100000000000002</v>
      </c>
      <c r="K23" s="32">
        <f t="shared" si="3"/>
        <v>1.3310000000000002</v>
      </c>
      <c r="L23" s="32">
        <f t="shared" si="3"/>
        <v>1.4641000000000002</v>
      </c>
    </row>
    <row r="24" spans="1:12" ht="15.75" x14ac:dyDescent="0.25">
      <c r="A24" s="8" t="s">
        <v>14</v>
      </c>
      <c r="B24" s="33">
        <f>B13+B23</f>
        <v>1570000</v>
      </c>
      <c r="C24" s="33">
        <f t="shared" ref="C24:F24" si="5">C13+C23</f>
        <v>1727000</v>
      </c>
      <c r="D24" s="33">
        <f t="shared" si="5"/>
        <v>1899700.0000000002</v>
      </c>
      <c r="E24" s="33">
        <f t="shared" si="5"/>
        <v>2089670.0000000005</v>
      </c>
      <c r="F24" s="33">
        <f t="shared" si="5"/>
        <v>2298637.0000000005</v>
      </c>
      <c r="H24" s="32">
        <f t="shared" si="1"/>
        <v>1</v>
      </c>
      <c r="I24" s="32">
        <f t="shared" si="2"/>
        <v>1.1000000000000001</v>
      </c>
      <c r="J24" s="32">
        <f t="shared" si="3"/>
        <v>1.2100000000000002</v>
      </c>
      <c r="K24" s="32">
        <f t="shared" si="3"/>
        <v>1.3310000000000004</v>
      </c>
      <c r="L24" s="32">
        <f t="shared" si="3"/>
        <v>1.4641000000000004</v>
      </c>
    </row>
    <row r="25" spans="1:12" ht="15.75" x14ac:dyDescent="0.25">
      <c r="A25" s="3" t="s">
        <v>15</v>
      </c>
      <c r="B25" s="33"/>
      <c r="C25" s="33"/>
      <c r="D25" s="33"/>
      <c r="E25" s="33"/>
      <c r="F25" s="33"/>
      <c r="H25" s="32"/>
      <c r="I25" s="32"/>
      <c r="J25" s="32"/>
      <c r="K25" s="32"/>
      <c r="L25" s="32"/>
    </row>
    <row r="26" spans="1:12" x14ac:dyDescent="0.25">
      <c r="A26" s="6" t="s">
        <v>16</v>
      </c>
      <c r="B26" s="33"/>
      <c r="C26" s="33"/>
      <c r="D26" s="33"/>
      <c r="E26" s="33"/>
      <c r="F26" s="33"/>
      <c r="H26" s="32"/>
      <c r="I26" s="32"/>
      <c r="J26" s="32"/>
      <c r="K26" s="32"/>
      <c r="L26" s="32"/>
    </row>
    <row r="27" spans="1:12" x14ac:dyDescent="0.25">
      <c r="A27" s="5" t="s">
        <v>17</v>
      </c>
      <c r="B27" s="112">
        <v>50000</v>
      </c>
      <c r="C27" s="119">
        <v>55000.000000000007</v>
      </c>
      <c r="D27" s="119">
        <v>60500.000000000015</v>
      </c>
      <c r="E27" s="119">
        <v>66550.000000000015</v>
      </c>
      <c r="F27" s="119">
        <v>73205.000000000029</v>
      </c>
      <c r="H27" s="32">
        <f t="shared" si="1"/>
        <v>1</v>
      </c>
      <c r="I27" s="32">
        <f t="shared" si="2"/>
        <v>1.1000000000000001</v>
      </c>
      <c r="J27" s="32">
        <f t="shared" si="3"/>
        <v>1.2100000000000002</v>
      </c>
      <c r="K27" s="32">
        <f t="shared" si="3"/>
        <v>1.3310000000000002</v>
      </c>
      <c r="L27" s="32">
        <f t="shared" si="3"/>
        <v>1.4641000000000006</v>
      </c>
    </row>
    <row r="28" spans="1:12" x14ac:dyDescent="0.25">
      <c r="A28" s="5" t="s">
        <v>18</v>
      </c>
      <c r="B28" s="112">
        <v>100000</v>
      </c>
      <c r="C28" s="119">
        <v>110000.00000000001</v>
      </c>
      <c r="D28" s="119">
        <v>121000.00000000003</v>
      </c>
      <c r="E28" s="119">
        <v>133100.00000000003</v>
      </c>
      <c r="F28" s="119">
        <v>146410.00000000006</v>
      </c>
      <c r="H28" s="32">
        <f t="shared" si="1"/>
        <v>1</v>
      </c>
      <c r="I28" s="32">
        <f t="shared" si="2"/>
        <v>1.1000000000000001</v>
      </c>
      <c r="J28" s="32">
        <f t="shared" si="3"/>
        <v>1.2100000000000002</v>
      </c>
      <c r="K28" s="32">
        <f t="shared" si="3"/>
        <v>1.3310000000000002</v>
      </c>
      <c r="L28" s="32">
        <f t="shared" si="3"/>
        <v>1.4641000000000006</v>
      </c>
    </row>
    <row r="29" spans="1:12" x14ac:dyDescent="0.25">
      <c r="A29" s="5" t="s">
        <v>30</v>
      </c>
      <c r="B29" s="112">
        <v>100000</v>
      </c>
      <c r="C29" s="119">
        <v>110000.00000000001</v>
      </c>
      <c r="D29" s="119">
        <v>121000.00000000003</v>
      </c>
      <c r="E29" s="119">
        <v>133100.00000000003</v>
      </c>
      <c r="F29" s="119">
        <v>146410.00000000006</v>
      </c>
      <c r="H29" s="32">
        <f t="shared" si="1"/>
        <v>1</v>
      </c>
      <c r="I29" s="32">
        <f t="shared" si="2"/>
        <v>1.1000000000000001</v>
      </c>
      <c r="J29" s="32">
        <f t="shared" si="3"/>
        <v>1.2100000000000002</v>
      </c>
      <c r="K29" s="32">
        <f t="shared" si="3"/>
        <v>1.3310000000000002</v>
      </c>
      <c r="L29" s="32">
        <f t="shared" si="3"/>
        <v>1.4641000000000006</v>
      </c>
    </row>
    <row r="30" spans="1:12" x14ac:dyDescent="0.25">
      <c r="A30" s="5" t="s">
        <v>19</v>
      </c>
      <c r="B30" s="112">
        <v>100000</v>
      </c>
      <c r="C30" s="119">
        <v>110000.00000000001</v>
      </c>
      <c r="D30" s="119">
        <v>121000.00000000003</v>
      </c>
      <c r="E30" s="119">
        <v>133100.00000000003</v>
      </c>
      <c r="F30" s="119">
        <v>146410.00000000006</v>
      </c>
      <c r="H30" s="32">
        <f t="shared" si="1"/>
        <v>1</v>
      </c>
      <c r="I30" s="32">
        <f t="shared" si="2"/>
        <v>1.1000000000000001</v>
      </c>
      <c r="J30" s="32">
        <f t="shared" si="3"/>
        <v>1.2100000000000002</v>
      </c>
      <c r="K30" s="32">
        <f t="shared" si="3"/>
        <v>1.3310000000000002</v>
      </c>
      <c r="L30" s="32">
        <f t="shared" si="3"/>
        <v>1.4641000000000006</v>
      </c>
    </row>
    <row r="31" spans="1:12" x14ac:dyDescent="0.25">
      <c r="A31" s="5" t="s">
        <v>20</v>
      </c>
      <c r="B31" s="112">
        <v>100000</v>
      </c>
      <c r="C31" s="119">
        <v>110000.00000000001</v>
      </c>
      <c r="D31" s="119">
        <v>121000.00000000003</v>
      </c>
      <c r="E31" s="119">
        <v>133100.00000000003</v>
      </c>
      <c r="F31" s="119">
        <v>146410.00000000006</v>
      </c>
      <c r="H31" s="32">
        <f t="shared" si="1"/>
        <v>1</v>
      </c>
      <c r="I31" s="32">
        <f t="shared" si="2"/>
        <v>1.1000000000000001</v>
      </c>
      <c r="J31" s="32">
        <f t="shared" si="3"/>
        <v>1.2100000000000002</v>
      </c>
      <c r="K31" s="32">
        <f t="shared" si="3"/>
        <v>1.3310000000000002</v>
      </c>
      <c r="L31" s="32">
        <f t="shared" si="3"/>
        <v>1.4641000000000006</v>
      </c>
    </row>
    <row r="32" spans="1:12" x14ac:dyDescent="0.25">
      <c r="A32" s="5" t="s">
        <v>21</v>
      </c>
      <c r="B32" s="112">
        <v>10000</v>
      </c>
      <c r="C32" s="119">
        <v>11000</v>
      </c>
      <c r="D32" s="119">
        <v>12100.000000000002</v>
      </c>
      <c r="E32" s="119">
        <v>13310.000000000004</v>
      </c>
      <c r="F32" s="119">
        <v>14641.000000000005</v>
      </c>
      <c r="H32" s="32">
        <f t="shared" si="1"/>
        <v>1</v>
      </c>
      <c r="I32" s="32">
        <f t="shared" si="2"/>
        <v>1.1000000000000001</v>
      </c>
      <c r="J32" s="32">
        <f t="shared" si="3"/>
        <v>1.2100000000000002</v>
      </c>
      <c r="K32" s="32">
        <f t="shared" si="3"/>
        <v>1.3310000000000004</v>
      </c>
      <c r="L32" s="32">
        <f t="shared" si="3"/>
        <v>1.4641000000000006</v>
      </c>
    </row>
    <row r="33" spans="1:12" x14ac:dyDescent="0.25">
      <c r="A33" s="6" t="s">
        <v>41</v>
      </c>
      <c r="B33" s="33">
        <f>SUM(B27:B32)</f>
        <v>460000</v>
      </c>
      <c r="C33" s="33">
        <f t="shared" ref="C33:F33" si="6">SUM(C27:C32)</f>
        <v>506000.00000000006</v>
      </c>
      <c r="D33" s="33">
        <f t="shared" si="6"/>
        <v>556600.00000000012</v>
      </c>
      <c r="E33" s="33">
        <f t="shared" si="6"/>
        <v>612260.00000000012</v>
      </c>
      <c r="F33" s="33">
        <f t="shared" si="6"/>
        <v>673486.00000000023</v>
      </c>
      <c r="H33" s="32">
        <f t="shared" si="1"/>
        <v>1</v>
      </c>
      <c r="I33" s="32">
        <f t="shared" si="2"/>
        <v>1.1000000000000001</v>
      </c>
      <c r="J33" s="32">
        <f t="shared" si="3"/>
        <v>1.2100000000000002</v>
      </c>
      <c r="K33" s="32">
        <f t="shared" si="3"/>
        <v>1.3310000000000002</v>
      </c>
      <c r="L33" s="32">
        <f t="shared" si="3"/>
        <v>1.4641000000000004</v>
      </c>
    </row>
    <row r="34" spans="1:12" x14ac:dyDescent="0.25">
      <c r="A34" s="6" t="s">
        <v>22</v>
      </c>
      <c r="B34" s="33"/>
      <c r="C34" s="33"/>
      <c r="D34" s="33"/>
      <c r="E34" s="33"/>
      <c r="F34" s="33"/>
      <c r="H34" s="32"/>
      <c r="I34" s="32"/>
      <c r="J34" s="32"/>
      <c r="K34" s="32"/>
      <c r="L34" s="32"/>
    </row>
    <row r="35" spans="1:12" x14ac:dyDescent="0.25">
      <c r="A35" s="5" t="s">
        <v>23</v>
      </c>
      <c r="B35" s="112">
        <v>200000</v>
      </c>
      <c r="C35" s="119">
        <v>220000.00000000003</v>
      </c>
      <c r="D35" s="119">
        <v>242000.00000000006</v>
      </c>
      <c r="E35" s="119">
        <v>266200.00000000006</v>
      </c>
      <c r="F35" s="119">
        <v>292820.00000000012</v>
      </c>
      <c r="H35" s="32">
        <f t="shared" si="1"/>
        <v>1</v>
      </c>
      <c r="I35" s="32">
        <f t="shared" si="2"/>
        <v>1.1000000000000001</v>
      </c>
      <c r="J35" s="32">
        <f t="shared" si="3"/>
        <v>1.2100000000000002</v>
      </c>
      <c r="K35" s="32">
        <f t="shared" si="3"/>
        <v>1.3310000000000002</v>
      </c>
      <c r="L35" s="32">
        <f t="shared" si="3"/>
        <v>1.4641000000000006</v>
      </c>
    </row>
    <row r="36" spans="1:12" x14ac:dyDescent="0.25">
      <c r="A36" s="5" t="s">
        <v>24</v>
      </c>
      <c r="B36" s="112">
        <v>100000</v>
      </c>
      <c r="C36" s="119">
        <v>110000.00000000001</v>
      </c>
      <c r="D36" s="119">
        <v>121000.00000000003</v>
      </c>
      <c r="E36" s="119">
        <v>133100.00000000003</v>
      </c>
      <c r="F36" s="119">
        <v>146410.00000000006</v>
      </c>
      <c r="H36" s="32">
        <f t="shared" si="1"/>
        <v>1</v>
      </c>
      <c r="I36" s="32">
        <f t="shared" si="2"/>
        <v>1.1000000000000001</v>
      </c>
      <c r="J36" s="32">
        <f t="shared" si="3"/>
        <v>1.2100000000000002</v>
      </c>
      <c r="K36" s="32">
        <f t="shared" si="3"/>
        <v>1.3310000000000002</v>
      </c>
      <c r="L36" s="32">
        <f t="shared" si="3"/>
        <v>1.4641000000000006</v>
      </c>
    </row>
    <row r="37" spans="1:12" x14ac:dyDescent="0.25">
      <c r="A37" s="5" t="s">
        <v>25</v>
      </c>
      <c r="B37" s="112">
        <v>10000</v>
      </c>
      <c r="C37" s="119">
        <v>11000</v>
      </c>
      <c r="D37" s="119">
        <v>12100.000000000002</v>
      </c>
      <c r="E37" s="119">
        <v>13310.000000000004</v>
      </c>
      <c r="F37" s="119">
        <v>14641.000000000005</v>
      </c>
      <c r="H37" s="32">
        <f t="shared" si="1"/>
        <v>1</v>
      </c>
      <c r="I37" s="32">
        <f t="shared" si="2"/>
        <v>1.1000000000000001</v>
      </c>
      <c r="J37" s="32">
        <f t="shared" si="3"/>
        <v>1.2100000000000002</v>
      </c>
      <c r="K37" s="32">
        <f t="shared" si="3"/>
        <v>1.3310000000000004</v>
      </c>
      <c r="L37" s="32">
        <f t="shared" si="3"/>
        <v>1.4641000000000006</v>
      </c>
    </row>
    <row r="38" spans="1:12" x14ac:dyDescent="0.25">
      <c r="A38" s="6" t="s">
        <v>88</v>
      </c>
      <c r="B38" s="33">
        <f>SUM(B35:B37)</f>
        <v>310000</v>
      </c>
      <c r="C38" s="33">
        <f t="shared" ref="C38:F38" si="7">SUM(C35:C37)</f>
        <v>341000.00000000006</v>
      </c>
      <c r="D38" s="33">
        <f t="shared" si="7"/>
        <v>375100.00000000012</v>
      </c>
      <c r="E38" s="33">
        <f t="shared" si="7"/>
        <v>412610.00000000012</v>
      </c>
      <c r="F38" s="33">
        <f t="shared" si="7"/>
        <v>453871.00000000017</v>
      </c>
      <c r="H38" s="32">
        <f t="shared" si="1"/>
        <v>1</v>
      </c>
      <c r="I38" s="32">
        <f t="shared" si="2"/>
        <v>1.1000000000000001</v>
      </c>
      <c r="J38" s="32">
        <f t="shared" si="3"/>
        <v>1.2100000000000004</v>
      </c>
      <c r="K38" s="32">
        <f t="shared" si="3"/>
        <v>1.3310000000000004</v>
      </c>
      <c r="L38" s="32">
        <f t="shared" si="3"/>
        <v>1.4641000000000006</v>
      </c>
    </row>
    <row r="39" spans="1:12" ht="15.75" x14ac:dyDescent="0.25">
      <c r="A39" s="8" t="s">
        <v>89</v>
      </c>
      <c r="B39" s="33">
        <f>B33+B38</f>
        <v>770000</v>
      </c>
      <c r="C39" s="33">
        <f t="shared" ref="C39:F39" si="8">C33+C38</f>
        <v>847000.00000000012</v>
      </c>
      <c r="D39" s="33">
        <f t="shared" si="8"/>
        <v>931700.00000000023</v>
      </c>
      <c r="E39" s="33">
        <f t="shared" si="8"/>
        <v>1024870.0000000002</v>
      </c>
      <c r="F39" s="33">
        <f t="shared" si="8"/>
        <v>1127357.0000000005</v>
      </c>
      <c r="H39" s="32">
        <f t="shared" si="1"/>
        <v>1</v>
      </c>
      <c r="I39" s="32">
        <f t="shared" si="2"/>
        <v>1.1000000000000001</v>
      </c>
      <c r="J39" s="32">
        <f t="shared" si="3"/>
        <v>1.2100000000000004</v>
      </c>
      <c r="K39" s="32">
        <f t="shared" si="3"/>
        <v>1.3310000000000004</v>
      </c>
      <c r="L39" s="32">
        <f t="shared" si="3"/>
        <v>1.4641000000000006</v>
      </c>
    </row>
    <row r="40" spans="1:12" x14ac:dyDescent="0.25">
      <c r="A40" s="6" t="s">
        <v>26</v>
      </c>
      <c r="B40" s="33"/>
      <c r="C40" s="33"/>
      <c r="D40" s="33"/>
      <c r="E40" s="33"/>
      <c r="F40" s="33"/>
      <c r="H40" s="32"/>
      <c r="I40" s="32"/>
      <c r="J40" s="32"/>
      <c r="K40" s="32"/>
      <c r="L40" s="32"/>
    </row>
    <row r="41" spans="1:12" x14ac:dyDescent="0.25">
      <c r="A41" s="5" t="s">
        <v>27</v>
      </c>
      <c r="B41" s="112">
        <v>600000</v>
      </c>
      <c r="C41" s="119">
        <v>660000</v>
      </c>
      <c r="D41" s="119">
        <v>726000.00000000012</v>
      </c>
      <c r="E41" s="119">
        <v>798600.00000000023</v>
      </c>
      <c r="F41" s="119">
        <v>878460.00000000035</v>
      </c>
      <c r="H41" s="32">
        <f t="shared" si="1"/>
        <v>1</v>
      </c>
      <c r="I41" s="32">
        <f t="shared" si="2"/>
        <v>1.1000000000000001</v>
      </c>
      <c r="J41" s="32">
        <f t="shared" si="3"/>
        <v>1.2100000000000002</v>
      </c>
      <c r="K41" s="32">
        <f t="shared" si="3"/>
        <v>1.3310000000000004</v>
      </c>
      <c r="L41" s="32">
        <f t="shared" si="3"/>
        <v>1.4641000000000006</v>
      </c>
    </row>
    <row r="42" spans="1:12" x14ac:dyDescent="0.25">
      <c r="A42" s="5" t="s">
        <v>28</v>
      </c>
      <c r="B42" s="112">
        <v>150000</v>
      </c>
      <c r="C42" s="119">
        <v>165000</v>
      </c>
      <c r="D42" s="119">
        <v>181500.00000000003</v>
      </c>
      <c r="E42" s="119">
        <v>199650.00000000006</v>
      </c>
      <c r="F42" s="119">
        <v>219615.00000000009</v>
      </c>
      <c r="H42" s="32">
        <f t="shared" si="1"/>
        <v>1</v>
      </c>
      <c r="I42" s="32">
        <f t="shared" si="2"/>
        <v>1.1000000000000001</v>
      </c>
      <c r="J42" s="32">
        <f t="shared" si="3"/>
        <v>1.2100000000000002</v>
      </c>
      <c r="K42" s="32">
        <f t="shared" si="3"/>
        <v>1.3310000000000004</v>
      </c>
      <c r="L42" s="32">
        <f t="shared" si="3"/>
        <v>1.4641000000000006</v>
      </c>
    </row>
    <row r="43" spans="1:12" x14ac:dyDescent="0.25">
      <c r="A43" s="5" t="s">
        <v>29</v>
      </c>
      <c r="B43" s="112">
        <v>50000</v>
      </c>
      <c r="C43" s="119">
        <v>55000.000000000007</v>
      </c>
      <c r="D43" s="119">
        <v>60500.000000000015</v>
      </c>
      <c r="E43" s="119">
        <v>66550.000000000015</v>
      </c>
      <c r="F43" s="119">
        <v>73205.000000000029</v>
      </c>
      <c r="H43" s="32">
        <f t="shared" si="1"/>
        <v>1</v>
      </c>
      <c r="I43" s="32">
        <f t="shared" si="2"/>
        <v>1.1000000000000001</v>
      </c>
      <c r="J43" s="32">
        <f t="shared" si="3"/>
        <v>1.2100000000000002</v>
      </c>
      <c r="K43" s="32">
        <f t="shared" si="3"/>
        <v>1.3310000000000002</v>
      </c>
      <c r="L43" s="32">
        <f t="shared" si="3"/>
        <v>1.4641000000000006</v>
      </c>
    </row>
    <row r="44" spans="1:12" x14ac:dyDescent="0.25">
      <c r="A44" s="6" t="s">
        <v>42</v>
      </c>
      <c r="B44" s="33">
        <f>SUM(B41:B43)</f>
        <v>800000</v>
      </c>
      <c r="C44" s="33">
        <f t="shared" ref="C44:F44" si="9">SUM(C41:C43)</f>
        <v>880000</v>
      </c>
      <c r="D44" s="33">
        <f t="shared" si="9"/>
        <v>968000.00000000012</v>
      </c>
      <c r="E44" s="33">
        <f t="shared" si="9"/>
        <v>1064800.0000000002</v>
      </c>
      <c r="F44" s="33">
        <f t="shared" si="9"/>
        <v>1171280.0000000005</v>
      </c>
      <c r="H44" s="32">
        <f t="shared" si="1"/>
        <v>1</v>
      </c>
      <c r="I44" s="32">
        <f t="shared" si="2"/>
        <v>1.1000000000000001</v>
      </c>
      <c r="J44" s="32">
        <f t="shared" si="3"/>
        <v>1.2100000000000002</v>
      </c>
      <c r="K44" s="32">
        <f t="shared" si="3"/>
        <v>1.3310000000000002</v>
      </c>
      <c r="L44" s="32">
        <f t="shared" si="3"/>
        <v>1.4641000000000006</v>
      </c>
    </row>
    <row r="45" spans="1:12" ht="15.75" x14ac:dyDescent="0.25">
      <c r="A45" s="8" t="s">
        <v>38</v>
      </c>
      <c r="B45" s="33">
        <f>B39+B44</f>
        <v>1570000</v>
      </c>
      <c r="C45" s="33">
        <f t="shared" ref="C45:F45" si="10">C39+C44</f>
        <v>1727000</v>
      </c>
      <c r="D45" s="33">
        <f t="shared" si="10"/>
        <v>1899700.0000000005</v>
      </c>
      <c r="E45" s="33">
        <f t="shared" si="10"/>
        <v>2089670.0000000005</v>
      </c>
      <c r="F45" s="33">
        <f t="shared" si="10"/>
        <v>2298637.0000000009</v>
      </c>
      <c r="H45" s="32">
        <f t="shared" si="1"/>
        <v>1</v>
      </c>
      <c r="I45" s="32">
        <f t="shared" si="2"/>
        <v>1.1000000000000001</v>
      </c>
      <c r="J45" s="32">
        <f t="shared" si="3"/>
        <v>1.2100000000000002</v>
      </c>
      <c r="K45" s="32">
        <f t="shared" si="3"/>
        <v>1.3310000000000004</v>
      </c>
      <c r="L45" s="32">
        <f t="shared" si="3"/>
        <v>1.4641000000000006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4:F12 B15:F23 B27:F32 B35:F37 B41:F43">
      <formula1>0</formula1>
      <formula2>1000000000000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B2" sqref="B2"/>
    </sheetView>
  </sheetViews>
  <sheetFormatPr defaultRowHeight="15" x14ac:dyDescent="0.25"/>
  <cols>
    <col min="1" max="1" width="39.5703125" style="4" bestFit="1" customWidth="1"/>
    <col min="2" max="6" width="10.7109375" style="34" customWidth="1"/>
    <col min="7" max="16384" width="9.140625" style="4"/>
  </cols>
  <sheetData>
    <row r="1" spans="1:12" s="10" customFormat="1" ht="15.75" x14ac:dyDescent="0.25">
      <c r="A1" s="35" t="s">
        <v>44</v>
      </c>
      <c r="B1" s="36">
        <v>2018</v>
      </c>
      <c r="C1" s="36">
        <v>2019</v>
      </c>
      <c r="D1" s="36">
        <v>2020</v>
      </c>
      <c r="E1" s="36">
        <v>2021</v>
      </c>
      <c r="F1" s="36">
        <v>2022</v>
      </c>
      <c r="H1" s="36">
        <v>2018</v>
      </c>
      <c r="I1" s="36">
        <v>2019</v>
      </c>
      <c r="J1" s="36">
        <v>2020</v>
      </c>
      <c r="K1" s="36">
        <v>2021</v>
      </c>
      <c r="L1" s="36">
        <v>2022</v>
      </c>
    </row>
    <row r="2" spans="1:12" x14ac:dyDescent="0.25">
      <c r="A2" s="37" t="s">
        <v>55</v>
      </c>
      <c r="B2" s="119">
        <v>200000</v>
      </c>
      <c r="C2" s="119">
        <v>220000.00000000003</v>
      </c>
      <c r="D2" s="119">
        <v>242000.00000000006</v>
      </c>
      <c r="E2" s="119">
        <v>266200.00000000006</v>
      </c>
      <c r="F2" s="119">
        <v>292820.00000000012</v>
      </c>
      <c r="H2" s="32">
        <f>B2/$B$2</f>
        <v>1</v>
      </c>
      <c r="I2" s="32">
        <f>C2/$C$2</f>
        <v>1</v>
      </c>
      <c r="J2" s="32">
        <f>D2/$D$2</f>
        <v>1</v>
      </c>
      <c r="K2" s="32">
        <f>E2/$E$2</f>
        <v>1</v>
      </c>
      <c r="L2" s="32">
        <f>F2/$F$2</f>
        <v>1</v>
      </c>
    </row>
    <row r="3" spans="1:12" x14ac:dyDescent="0.25">
      <c r="A3" s="37" t="s">
        <v>45</v>
      </c>
      <c r="B3" s="119">
        <v>100000</v>
      </c>
      <c r="C3" s="119">
        <v>110000.00000000001</v>
      </c>
      <c r="D3" s="119">
        <v>121000.00000000003</v>
      </c>
      <c r="E3" s="119">
        <v>133100.00000000003</v>
      </c>
      <c r="F3" s="119">
        <v>146410.00000000006</v>
      </c>
      <c r="H3" s="32">
        <f t="shared" ref="H3:H17" si="0">B3/$B$2</f>
        <v>0.5</v>
      </c>
      <c r="I3" s="32">
        <f t="shared" ref="I3:I17" si="1">C3/$C$2</f>
        <v>0.5</v>
      </c>
      <c r="J3" s="32">
        <f t="shared" ref="J3:J17" si="2">D3/$D$2</f>
        <v>0.5</v>
      </c>
      <c r="K3" s="32">
        <f t="shared" ref="K3:K17" si="3">E3/$E$2</f>
        <v>0.5</v>
      </c>
      <c r="L3" s="32">
        <f t="shared" ref="L3:L17" si="4">F3/$F$2</f>
        <v>0.5</v>
      </c>
    </row>
    <row r="4" spans="1:12" x14ac:dyDescent="0.25">
      <c r="A4" s="37" t="s">
        <v>56</v>
      </c>
      <c r="B4" s="38">
        <f>B2-B3</f>
        <v>100000</v>
      </c>
      <c r="C4" s="38">
        <f t="shared" ref="C4:F4" si="5">C2-C3</f>
        <v>110000.00000000001</v>
      </c>
      <c r="D4" s="38">
        <f t="shared" si="5"/>
        <v>121000.00000000003</v>
      </c>
      <c r="E4" s="38">
        <f t="shared" si="5"/>
        <v>133100.00000000003</v>
      </c>
      <c r="F4" s="38">
        <f t="shared" si="5"/>
        <v>146410.00000000006</v>
      </c>
      <c r="H4" s="32">
        <f t="shared" si="0"/>
        <v>0.5</v>
      </c>
      <c r="I4" s="32">
        <f t="shared" si="1"/>
        <v>0.5</v>
      </c>
      <c r="J4" s="32">
        <f t="shared" si="2"/>
        <v>0.5</v>
      </c>
      <c r="K4" s="32">
        <f t="shared" si="3"/>
        <v>0.5</v>
      </c>
      <c r="L4" s="32">
        <f t="shared" si="4"/>
        <v>0.5</v>
      </c>
    </row>
    <row r="5" spans="1:12" x14ac:dyDescent="0.25">
      <c r="A5" s="37" t="s">
        <v>46</v>
      </c>
      <c r="B5" s="39">
        <f>'Income Statement'!B5</f>
        <v>0</v>
      </c>
      <c r="C5" s="33"/>
      <c r="D5" s="33"/>
      <c r="E5" s="33"/>
      <c r="F5" s="33"/>
      <c r="H5" s="32"/>
      <c r="I5" s="32"/>
      <c r="J5" s="32"/>
      <c r="K5" s="32"/>
      <c r="L5" s="32"/>
    </row>
    <row r="6" spans="1:12" x14ac:dyDescent="0.25">
      <c r="A6" s="40" t="s">
        <v>47</v>
      </c>
      <c r="B6" s="119">
        <v>5000</v>
      </c>
      <c r="C6" s="119">
        <v>5500</v>
      </c>
      <c r="D6" s="119">
        <v>6050.0000000000009</v>
      </c>
      <c r="E6" s="119">
        <v>6655.0000000000018</v>
      </c>
      <c r="F6" s="119">
        <v>7320.5000000000027</v>
      </c>
      <c r="H6" s="32">
        <f t="shared" si="0"/>
        <v>2.5000000000000001E-2</v>
      </c>
      <c r="I6" s="32">
        <f t="shared" si="1"/>
        <v>2.4999999999999998E-2</v>
      </c>
      <c r="J6" s="32">
        <f t="shared" si="2"/>
        <v>2.4999999999999998E-2</v>
      </c>
      <c r="K6" s="32">
        <f t="shared" si="3"/>
        <v>2.5000000000000001E-2</v>
      </c>
      <c r="L6" s="32">
        <f t="shared" si="4"/>
        <v>2.4999999999999998E-2</v>
      </c>
    </row>
    <row r="7" spans="1:12" x14ac:dyDescent="0.25">
      <c r="A7" s="40" t="s">
        <v>48</v>
      </c>
      <c r="B7" s="119">
        <v>5000</v>
      </c>
      <c r="C7" s="119">
        <v>5500</v>
      </c>
      <c r="D7" s="119">
        <v>6050.0000000000009</v>
      </c>
      <c r="E7" s="119">
        <v>6655.0000000000018</v>
      </c>
      <c r="F7" s="119">
        <v>7320.5000000000027</v>
      </c>
      <c r="H7" s="32">
        <f t="shared" si="0"/>
        <v>2.5000000000000001E-2</v>
      </c>
      <c r="I7" s="32">
        <f t="shared" si="1"/>
        <v>2.4999999999999998E-2</v>
      </c>
      <c r="J7" s="32">
        <f t="shared" si="2"/>
        <v>2.4999999999999998E-2</v>
      </c>
      <c r="K7" s="32">
        <f t="shared" si="3"/>
        <v>2.5000000000000001E-2</v>
      </c>
      <c r="L7" s="32">
        <f t="shared" si="4"/>
        <v>2.4999999999999998E-2</v>
      </c>
    </row>
    <row r="8" spans="1:12" x14ac:dyDescent="0.25">
      <c r="A8" s="40" t="s">
        <v>49</v>
      </c>
      <c r="B8" s="119">
        <v>5000</v>
      </c>
      <c r="C8" s="119">
        <v>5500</v>
      </c>
      <c r="D8" s="119">
        <v>6050.0000000000009</v>
      </c>
      <c r="E8" s="119">
        <v>6655.0000000000018</v>
      </c>
      <c r="F8" s="119">
        <v>7320.5000000000027</v>
      </c>
      <c r="H8" s="32">
        <f t="shared" si="0"/>
        <v>2.5000000000000001E-2</v>
      </c>
      <c r="I8" s="32">
        <f t="shared" si="1"/>
        <v>2.4999999999999998E-2</v>
      </c>
      <c r="J8" s="32">
        <f t="shared" si="2"/>
        <v>2.4999999999999998E-2</v>
      </c>
      <c r="K8" s="32">
        <f t="shared" si="3"/>
        <v>2.5000000000000001E-2</v>
      </c>
      <c r="L8" s="32">
        <f t="shared" si="4"/>
        <v>2.4999999999999998E-2</v>
      </c>
    </row>
    <row r="9" spans="1:12" x14ac:dyDescent="0.25">
      <c r="A9" s="40" t="s">
        <v>50</v>
      </c>
      <c r="B9" s="119">
        <v>4000</v>
      </c>
      <c r="C9" s="119">
        <v>4400</v>
      </c>
      <c r="D9" s="119">
        <v>4840</v>
      </c>
      <c r="E9" s="119">
        <v>5324</v>
      </c>
      <c r="F9" s="119">
        <v>5856.4000000000005</v>
      </c>
      <c r="H9" s="32">
        <f t="shared" si="0"/>
        <v>0.02</v>
      </c>
      <c r="I9" s="32">
        <f t="shared" si="1"/>
        <v>1.9999999999999997E-2</v>
      </c>
      <c r="J9" s="32">
        <f t="shared" si="2"/>
        <v>1.9999999999999993E-2</v>
      </c>
      <c r="K9" s="32">
        <f t="shared" si="3"/>
        <v>1.9999999999999997E-2</v>
      </c>
      <c r="L9" s="32">
        <f t="shared" si="4"/>
        <v>1.9999999999999993E-2</v>
      </c>
    </row>
    <row r="10" spans="1:12" x14ac:dyDescent="0.25">
      <c r="A10" s="40" t="s">
        <v>51</v>
      </c>
      <c r="B10" s="119">
        <v>1000</v>
      </c>
      <c r="C10" s="119">
        <v>1100</v>
      </c>
      <c r="D10" s="119">
        <v>1210</v>
      </c>
      <c r="E10" s="119">
        <v>1331</v>
      </c>
      <c r="F10" s="119">
        <v>1464.1000000000001</v>
      </c>
      <c r="H10" s="32">
        <f t="shared" si="0"/>
        <v>5.0000000000000001E-3</v>
      </c>
      <c r="I10" s="32">
        <f t="shared" si="1"/>
        <v>4.9999999999999992E-3</v>
      </c>
      <c r="J10" s="32">
        <f t="shared" si="2"/>
        <v>4.9999999999999984E-3</v>
      </c>
      <c r="K10" s="32">
        <f t="shared" si="3"/>
        <v>4.9999999999999992E-3</v>
      </c>
      <c r="L10" s="32">
        <f t="shared" si="4"/>
        <v>4.9999999999999984E-3</v>
      </c>
    </row>
    <row r="11" spans="1:12" x14ac:dyDescent="0.25">
      <c r="A11" s="37" t="s">
        <v>57</v>
      </c>
      <c r="B11" s="39">
        <f>SUM(B6:B10)</f>
        <v>20000</v>
      </c>
      <c r="C11" s="39">
        <f t="shared" ref="C11:F11" si="6">SUM(C6:C10)</f>
        <v>22000</v>
      </c>
      <c r="D11" s="39">
        <f t="shared" si="6"/>
        <v>24200.000000000004</v>
      </c>
      <c r="E11" s="39">
        <f t="shared" si="6"/>
        <v>26620.000000000007</v>
      </c>
      <c r="F11" s="39">
        <f t="shared" si="6"/>
        <v>29282.000000000007</v>
      </c>
      <c r="H11" s="32">
        <f t="shared" si="0"/>
        <v>0.1</v>
      </c>
      <c r="I11" s="32">
        <f t="shared" si="1"/>
        <v>9.9999999999999992E-2</v>
      </c>
      <c r="J11" s="32">
        <f t="shared" si="2"/>
        <v>9.9999999999999992E-2</v>
      </c>
      <c r="K11" s="32">
        <f t="shared" si="3"/>
        <v>0.1</v>
      </c>
      <c r="L11" s="32">
        <f t="shared" si="4"/>
        <v>9.9999999999999992E-2</v>
      </c>
    </row>
    <row r="12" spans="1:12" x14ac:dyDescent="0.25">
      <c r="A12" s="37" t="s">
        <v>54</v>
      </c>
      <c r="B12" s="119">
        <v>20000</v>
      </c>
      <c r="C12" s="119">
        <v>22000</v>
      </c>
      <c r="D12" s="119">
        <v>24200.000000000004</v>
      </c>
      <c r="E12" s="119">
        <v>26620.000000000007</v>
      </c>
      <c r="F12" s="119">
        <v>29282.000000000011</v>
      </c>
      <c r="H12" s="32">
        <f t="shared" si="0"/>
        <v>0.1</v>
      </c>
      <c r="I12" s="32">
        <f t="shared" si="1"/>
        <v>9.9999999999999992E-2</v>
      </c>
      <c r="J12" s="32">
        <f t="shared" si="2"/>
        <v>9.9999999999999992E-2</v>
      </c>
      <c r="K12" s="32">
        <f t="shared" si="3"/>
        <v>0.1</v>
      </c>
      <c r="L12" s="32">
        <f t="shared" si="4"/>
        <v>9.9999999999999992E-2</v>
      </c>
    </row>
    <row r="13" spans="1:12" x14ac:dyDescent="0.25">
      <c r="A13" s="37" t="s">
        <v>58</v>
      </c>
      <c r="B13" s="39">
        <f>B4-B11+B12</f>
        <v>100000</v>
      </c>
      <c r="C13" s="39">
        <f t="shared" ref="C13:F13" si="7">C4-C11+C12</f>
        <v>110000.00000000001</v>
      </c>
      <c r="D13" s="39">
        <f t="shared" si="7"/>
        <v>121000.00000000003</v>
      </c>
      <c r="E13" s="39">
        <f t="shared" si="7"/>
        <v>133100.00000000003</v>
      </c>
      <c r="F13" s="39">
        <f t="shared" si="7"/>
        <v>146410.00000000006</v>
      </c>
      <c r="H13" s="32">
        <f t="shared" si="0"/>
        <v>0.5</v>
      </c>
      <c r="I13" s="32">
        <f t="shared" si="1"/>
        <v>0.5</v>
      </c>
      <c r="J13" s="32">
        <f t="shared" si="2"/>
        <v>0.5</v>
      </c>
      <c r="K13" s="32">
        <f t="shared" si="3"/>
        <v>0.5</v>
      </c>
      <c r="L13" s="32">
        <f t="shared" si="4"/>
        <v>0.5</v>
      </c>
    </row>
    <row r="14" spans="1:12" x14ac:dyDescent="0.25">
      <c r="A14" s="37" t="s">
        <v>52</v>
      </c>
      <c r="B14" s="119">
        <v>20000</v>
      </c>
      <c r="C14" s="119">
        <v>22000</v>
      </c>
      <c r="D14" s="119">
        <v>24200.000000000004</v>
      </c>
      <c r="E14" s="119">
        <v>26620.000000000007</v>
      </c>
      <c r="F14" s="119">
        <v>29282.000000000011</v>
      </c>
      <c r="H14" s="32">
        <f t="shared" si="0"/>
        <v>0.1</v>
      </c>
      <c r="I14" s="32">
        <f t="shared" si="1"/>
        <v>9.9999999999999992E-2</v>
      </c>
      <c r="J14" s="32">
        <f t="shared" si="2"/>
        <v>9.9999999999999992E-2</v>
      </c>
      <c r="K14" s="32">
        <f t="shared" si="3"/>
        <v>0.1</v>
      </c>
      <c r="L14" s="32">
        <f t="shared" si="4"/>
        <v>9.9999999999999992E-2</v>
      </c>
    </row>
    <row r="15" spans="1:12" x14ac:dyDescent="0.25">
      <c r="A15" s="37" t="s">
        <v>59</v>
      </c>
      <c r="B15" s="39">
        <f>B13-B14</f>
        <v>80000</v>
      </c>
      <c r="C15" s="39">
        <f t="shared" ref="C15:F15" si="8">C13-C14</f>
        <v>88000.000000000015</v>
      </c>
      <c r="D15" s="39">
        <f t="shared" si="8"/>
        <v>96800.000000000029</v>
      </c>
      <c r="E15" s="39">
        <f t="shared" si="8"/>
        <v>106480.00000000003</v>
      </c>
      <c r="F15" s="39">
        <f t="shared" si="8"/>
        <v>117128.00000000004</v>
      </c>
      <c r="H15" s="32">
        <f t="shared" si="0"/>
        <v>0.4</v>
      </c>
      <c r="I15" s="32">
        <f t="shared" si="1"/>
        <v>0.4</v>
      </c>
      <c r="J15" s="32">
        <f t="shared" si="2"/>
        <v>0.4</v>
      </c>
      <c r="K15" s="32">
        <f t="shared" si="3"/>
        <v>0.4</v>
      </c>
      <c r="L15" s="32">
        <f t="shared" si="4"/>
        <v>0.39999999999999997</v>
      </c>
    </row>
    <row r="16" spans="1:12" x14ac:dyDescent="0.25">
      <c r="A16" s="37" t="s">
        <v>60</v>
      </c>
      <c r="B16" s="119">
        <v>12000</v>
      </c>
      <c r="C16" s="119">
        <v>13200.000000000002</v>
      </c>
      <c r="D16" s="119">
        <v>14520.000000000004</v>
      </c>
      <c r="E16" s="119">
        <v>15972.000000000005</v>
      </c>
      <c r="F16" s="119">
        <v>17569.200000000008</v>
      </c>
      <c r="H16" s="32">
        <f t="shared" si="0"/>
        <v>0.06</v>
      </c>
      <c r="I16" s="32">
        <f t="shared" si="1"/>
        <v>0.06</v>
      </c>
      <c r="J16" s="32">
        <f t="shared" si="2"/>
        <v>0.06</v>
      </c>
      <c r="K16" s="32">
        <f t="shared" si="3"/>
        <v>6.0000000000000005E-2</v>
      </c>
      <c r="L16" s="32">
        <f t="shared" si="4"/>
        <v>6.0000000000000005E-2</v>
      </c>
    </row>
    <row r="17" spans="1:12" ht="15.75" x14ac:dyDescent="0.25">
      <c r="A17" s="41" t="s">
        <v>53</v>
      </c>
      <c r="B17" s="39">
        <f>B15-B16</f>
        <v>68000</v>
      </c>
      <c r="C17" s="39">
        <f t="shared" ref="C17:F17" si="9">C15-C16</f>
        <v>74800.000000000015</v>
      </c>
      <c r="D17" s="39">
        <f t="shared" si="9"/>
        <v>82280.000000000029</v>
      </c>
      <c r="E17" s="39">
        <f t="shared" si="9"/>
        <v>90508.000000000029</v>
      </c>
      <c r="F17" s="39">
        <f t="shared" si="9"/>
        <v>99558.800000000032</v>
      </c>
      <c r="H17" s="32">
        <f t="shared" si="0"/>
        <v>0.34</v>
      </c>
      <c r="I17" s="32">
        <f t="shared" si="1"/>
        <v>0.34</v>
      </c>
      <c r="J17" s="32">
        <f t="shared" si="2"/>
        <v>0.34</v>
      </c>
      <c r="K17" s="32">
        <f t="shared" si="3"/>
        <v>0.34</v>
      </c>
      <c r="L17" s="32">
        <f t="shared" si="4"/>
        <v>0.33999999999999997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2:F3 B6:F10 B12:F12 B14:F14 B16:F16">
      <formula1>0</formula1>
      <formula2>1000000000000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F7" sqref="F7"/>
    </sheetView>
  </sheetViews>
  <sheetFormatPr defaultRowHeight="15" x14ac:dyDescent="0.25"/>
  <cols>
    <col min="1" max="1" width="39.5703125" style="4" bestFit="1" customWidth="1"/>
    <col min="2" max="16384" width="9.140625" style="4"/>
  </cols>
  <sheetData>
    <row r="1" spans="1:12" ht="15.75" x14ac:dyDescent="0.25">
      <c r="A1" s="35" t="s">
        <v>44</v>
      </c>
      <c r="B1" s="2">
        <v>2014</v>
      </c>
      <c r="C1" s="36">
        <v>2015</v>
      </c>
      <c r="D1" s="36">
        <v>2016</v>
      </c>
      <c r="E1" s="36">
        <v>2017</v>
      </c>
      <c r="F1" s="36">
        <v>2018</v>
      </c>
      <c r="G1" s="10"/>
      <c r="H1" s="2">
        <v>2014</v>
      </c>
      <c r="I1" s="36">
        <v>2015</v>
      </c>
      <c r="J1" s="36">
        <v>2016</v>
      </c>
      <c r="K1" s="36">
        <v>2017</v>
      </c>
      <c r="L1" s="36">
        <v>2018</v>
      </c>
    </row>
    <row r="2" spans="1:12" x14ac:dyDescent="0.25">
      <c r="A2" s="37" t="s">
        <v>55</v>
      </c>
      <c r="B2" s="119">
        <v>200000</v>
      </c>
      <c r="C2" s="119">
        <v>220000.00000000003</v>
      </c>
      <c r="D2" s="119">
        <v>242000.00000000006</v>
      </c>
      <c r="E2" s="119">
        <v>266200.00000000006</v>
      </c>
      <c r="F2" s="119">
        <v>292820.00000000012</v>
      </c>
      <c r="H2" s="32">
        <f>B2/B2</f>
        <v>1</v>
      </c>
      <c r="I2" s="32">
        <f>C2/B2</f>
        <v>1.1000000000000001</v>
      </c>
      <c r="J2" s="32">
        <f>D2/B2</f>
        <v>1.2100000000000002</v>
      </c>
      <c r="K2" s="32">
        <f>E2/B2</f>
        <v>1.3310000000000002</v>
      </c>
      <c r="L2" s="32">
        <f>F2/B2</f>
        <v>1.4641000000000006</v>
      </c>
    </row>
    <row r="3" spans="1:12" x14ac:dyDescent="0.25">
      <c r="A3" s="37" t="s">
        <v>45</v>
      </c>
      <c r="B3" s="119">
        <v>100000</v>
      </c>
      <c r="C3" s="119">
        <v>110000.00000000001</v>
      </c>
      <c r="D3" s="119">
        <v>121000.00000000003</v>
      </c>
      <c r="E3" s="119">
        <v>133100.00000000003</v>
      </c>
      <c r="F3" s="119">
        <v>146410.00000000006</v>
      </c>
      <c r="H3" s="32">
        <f t="shared" ref="H3:H17" si="0">B3/B3</f>
        <v>1</v>
      </c>
      <c r="I3" s="32">
        <f t="shared" ref="I3:I17" si="1">C3/B3</f>
        <v>1.1000000000000001</v>
      </c>
      <c r="J3" s="32">
        <f t="shared" ref="J3:J17" si="2">D3/B3</f>
        <v>1.2100000000000002</v>
      </c>
      <c r="K3" s="32">
        <f t="shared" ref="K3:K17" si="3">E3/B3</f>
        <v>1.3310000000000002</v>
      </c>
      <c r="L3" s="32">
        <f t="shared" ref="L3:L17" si="4">F3/B3</f>
        <v>1.4641000000000006</v>
      </c>
    </row>
    <row r="4" spans="1:12" x14ac:dyDescent="0.25">
      <c r="A4" s="37" t="s">
        <v>56</v>
      </c>
      <c r="B4" s="38">
        <f>B2-B3</f>
        <v>100000</v>
      </c>
      <c r="C4" s="38">
        <f t="shared" ref="C4:F4" si="5">C2-C3</f>
        <v>110000.00000000001</v>
      </c>
      <c r="D4" s="38">
        <f t="shared" si="5"/>
        <v>121000.00000000003</v>
      </c>
      <c r="E4" s="38">
        <f t="shared" si="5"/>
        <v>133100.00000000003</v>
      </c>
      <c r="F4" s="38">
        <f t="shared" si="5"/>
        <v>146410.00000000006</v>
      </c>
      <c r="H4" s="32">
        <f t="shared" si="0"/>
        <v>1</v>
      </c>
      <c r="I4" s="32">
        <f t="shared" si="1"/>
        <v>1.1000000000000001</v>
      </c>
      <c r="J4" s="32">
        <f t="shared" si="2"/>
        <v>1.2100000000000002</v>
      </c>
      <c r="K4" s="32">
        <f t="shared" si="3"/>
        <v>1.3310000000000002</v>
      </c>
      <c r="L4" s="32">
        <f t="shared" si="4"/>
        <v>1.4641000000000006</v>
      </c>
    </row>
    <row r="5" spans="1:12" x14ac:dyDescent="0.25">
      <c r="A5" s="37" t="s">
        <v>46</v>
      </c>
      <c r="B5" s="39">
        <f>'Income Statement'!B5</f>
        <v>0</v>
      </c>
      <c r="C5" s="33"/>
      <c r="D5" s="33"/>
      <c r="E5" s="33"/>
      <c r="F5" s="33"/>
      <c r="H5" s="32"/>
      <c r="I5" s="32"/>
      <c r="J5" s="32"/>
      <c r="K5" s="32"/>
      <c r="L5" s="32"/>
    </row>
    <row r="6" spans="1:12" x14ac:dyDescent="0.25">
      <c r="A6" s="40" t="s">
        <v>47</v>
      </c>
      <c r="B6" s="119">
        <v>5000</v>
      </c>
      <c r="C6" s="119">
        <v>5500</v>
      </c>
      <c r="D6" s="119">
        <v>6050.0000000000009</v>
      </c>
      <c r="E6" s="119">
        <v>6655.0000000000018</v>
      </c>
      <c r="F6" s="119">
        <v>7320.5000000000027</v>
      </c>
      <c r="H6" s="32">
        <f t="shared" si="0"/>
        <v>1</v>
      </c>
      <c r="I6" s="32">
        <f t="shared" si="1"/>
        <v>1.1000000000000001</v>
      </c>
      <c r="J6" s="32">
        <f t="shared" si="2"/>
        <v>1.2100000000000002</v>
      </c>
      <c r="K6" s="32">
        <f t="shared" si="3"/>
        <v>1.3310000000000004</v>
      </c>
      <c r="L6" s="32">
        <f t="shared" si="4"/>
        <v>1.4641000000000006</v>
      </c>
    </row>
    <row r="7" spans="1:12" x14ac:dyDescent="0.25">
      <c r="A7" s="40" t="s">
        <v>48</v>
      </c>
      <c r="B7" s="119">
        <v>5000</v>
      </c>
      <c r="C7" s="119">
        <v>5500</v>
      </c>
      <c r="D7" s="119">
        <v>6050.0000000000009</v>
      </c>
      <c r="E7" s="119">
        <v>6655.0000000000018</v>
      </c>
      <c r="F7" s="119">
        <v>7320.5000000000027</v>
      </c>
      <c r="H7" s="32">
        <f t="shared" si="0"/>
        <v>1</v>
      </c>
      <c r="I7" s="32">
        <f t="shared" si="1"/>
        <v>1.1000000000000001</v>
      </c>
      <c r="J7" s="32">
        <f t="shared" si="2"/>
        <v>1.2100000000000002</v>
      </c>
      <c r="K7" s="32">
        <f t="shared" si="3"/>
        <v>1.3310000000000004</v>
      </c>
      <c r="L7" s="32">
        <f t="shared" si="4"/>
        <v>1.4641000000000006</v>
      </c>
    </row>
    <row r="8" spans="1:12" x14ac:dyDescent="0.25">
      <c r="A8" s="40" t="s">
        <v>49</v>
      </c>
      <c r="B8" s="119">
        <v>5000</v>
      </c>
      <c r="C8" s="119">
        <v>5500</v>
      </c>
      <c r="D8" s="119">
        <v>6050.0000000000009</v>
      </c>
      <c r="E8" s="119">
        <v>6655.0000000000018</v>
      </c>
      <c r="F8" s="119">
        <v>7320.5000000000027</v>
      </c>
      <c r="H8" s="32">
        <f t="shared" si="0"/>
        <v>1</v>
      </c>
      <c r="I8" s="32">
        <f t="shared" si="1"/>
        <v>1.1000000000000001</v>
      </c>
      <c r="J8" s="32">
        <f t="shared" si="2"/>
        <v>1.2100000000000002</v>
      </c>
      <c r="K8" s="32">
        <f t="shared" si="3"/>
        <v>1.3310000000000004</v>
      </c>
      <c r="L8" s="32">
        <f t="shared" si="4"/>
        <v>1.4641000000000006</v>
      </c>
    </row>
    <row r="9" spans="1:12" x14ac:dyDescent="0.25">
      <c r="A9" s="40" t="s">
        <v>50</v>
      </c>
      <c r="B9" s="119">
        <v>4000</v>
      </c>
      <c r="C9" s="119">
        <v>4400</v>
      </c>
      <c r="D9" s="119">
        <v>4840</v>
      </c>
      <c r="E9" s="119">
        <v>5324</v>
      </c>
      <c r="F9" s="119">
        <v>5856.4000000000005</v>
      </c>
      <c r="H9" s="32">
        <f t="shared" si="0"/>
        <v>1</v>
      </c>
      <c r="I9" s="32">
        <f t="shared" si="1"/>
        <v>1.1000000000000001</v>
      </c>
      <c r="J9" s="32">
        <f t="shared" si="2"/>
        <v>1.21</v>
      </c>
      <c r="K9" s="32">
        <f t="shared" si="3"/>
        <v>1.331</v>
      </c>
      <c r="L9" s="32">
        <f t="shared" si="4"/>
        <v>1.4641000000000002</v>
      </c>
    </row>
    <row r="10" spans="1:12" x14ac:dyDescent="0.25">
      <c r="A10" s="40" t="s">
        <v>51</v>
      </c>
      <c r="B10" s="119">
        <v>1000</v>
      </c>
      <c r="C10" s="119">
        <v>1100</v>
      </c>
      <c r="D10" s="119">
        <v>1210</v>
      </c>
      <c r="E10" s="119">
        <v>1331</v>
      </c>
      <c r="F10" s="119">
        <v>1464.1000000000001</v>
      </c>
      <c r="H10" s="32">
        <f t="shared" si="0"/>
        <v>1</v>
      </c>
      <c r="I10" s="32">
        <f t="shared" si="1"/>
        <v>1.1000000000000001</v>
      </c>
      <c r="J10" s="32">
        <f t="shared" si="2"/>
        <v>1.21</v>
      </c>
      <c r="K10" s="32">
        <f t="shared" si="3"/>
        <v>1.331</v>
      </c>
      <c r="L10" s="32">
        <f t="shared" si="4"/>
        <v>1.4641000000000002</v>
      </c>
    </row>
    <row r="11" spans="1:12" x14ac:dyDescent="0.25">
      <c r="A11" s="37" t="s">
        <v>57</v>
      </c>
      <c r="B11" s="39">
        <f>SUM(B6:B10)</f>
        <v>20000</v>
      </c>
      <c r="C11" s="39">
        <f t="shared" ref="C11:F11" si="6">SUM(C6:C10)</f>
        <v>22000</v>
      </c>
      <c r="D11" s="39">
        <f t="shared" si="6"/>
        <v>24200.000000000004</v>
      </c>
      <c r="E11" s="39">
        <f t="shared" si="6"/>
        <v>26620.000000000007</v>
      </c>
      <c r="F11" s="39">
        <f t="shared" si="6"/>
        <v>29282.000000000007</v>
      </c>
      <c r="H11" s="32">
        <f t="shared" si="0"/>
        <v>1</v>
      </c>
      <c r="I11" s="32">
        <f t="shared" si="1"/>
        <v>1.1000000000000001</v>
      </c>
      <c r="J11" s="32">
        <f t="shared" si="2"/>
        <v>1.2100000000000002</v>
      </c>
      <c r="K11" s="32">
        <f t="shared" si="3"/>
        <v>1.3310000000000004</v>
      </c>
      <c r="L11" s="32">
        <f t="shared" si="4"/>
        <v>1.4641000000000004</v>
      </c>
    </row>
    <row r="12" spans="1:12" x14ac:dyDescent="0.25">
      <c r="A12" s="37" t="s">
        <v>54</v>
      </c>
      <c r="B12" s="119">
        <v>20000</v>
      </c>
      <c r="C12" s="119">
        <v>22000</v>
      </c>
      <c r="D12" s="119">
        <v>24200.000000000004</v>
      </c>
      <c r="E12" s="119">
        <v>26620.000000000007</v>
      </c>
      <c r="F12" s="119">
        <v>29282.000000000011</v>
      </c>
      <c r="H12" s="32">
        <f t="shared" si="0"/>
        <v>1</v>
      </c>
      <c r="I12" s="32">
        <f t="shared" si="1"/>
        <v>1.1000000000000001</v>
      </c>
      <c r="J12" s="32">
        <f t="shared" si="2"/>
        <v>1.2100000000000002</v>
      </c>
      <c r="K12" s="32">
        <f t="shared" si="3"/>
        <v>1.3310000000000004</v>
      </c>
      <c r="L12" s="32">
        <f t="shared" si="4"/>
        <v>1.4641000000000006</v>
      </c>
    </row>
    <row r="13" spans="1:12" x14ac:dyDescent="0.25">
      <c r="A13" s="37" t="s">
        <v>58</v>
      </c>
      <c r="B13" s="39">
        <f>B4-B11+B12</f>
        <v>100000</v>
      </c>
      <c r="C13" s="39">
        <f t="shared" ref="C13:F13" si="7">C4-C11+C12</f>
        <v>110000.00000000001</v>
      </c>
      <c r="D13" s="39">
        <f t="shared" si="7"/>
        <v>121000.00000000003</v>
      </c>
      <c r="E13" s="39">
        <f t="shared" si="7"/>
        <v>133100.00000000003</v>
      </c>
      <c r="F13" s="39">
        <f t="shared" si="7"/>
        <v>146410.00000000006</v>
      </c>
      <c r="H13" s="32">
        <f t="shared" si="0"/>
        <v>1</v>
      </c>
      <c r="I13" s="32">
        <f t="shared" si="1"/>
        <v>1.1000000000000001</v>
      </c>
      <c r="J13" s="32">
        <f t="shared" si="2"/>
        <v>1.2100000000000002</v>
      </c>
      <c r="K13" s="32">
        <f t="shared" si="3"/>
        <v>1.3310000000000002</v>
      </c>
      <c r="L13" s="32">
        <f t="shared" si="4"/>
        <v>1.4641000000000006</v>
      </c>
    </row>
    <row r="14" spans="1:12" x14ac:dyDescent="0.25">
      <c r="A14" s="37" t="s">
        <v>52</v>
      </c>
      <c r="B14" s="119">
        <v>20000</v>
      </c>
      <c r="C14" s="119">
        <v>22000</v>
      </c>
      <c r="D14" s="119">
        <v>24200.000000000004</v>
      </c>
      <c r="E14" s="119">
        <v>26620.000000000007</v>
      </c>
      <c r="F14" s="119">
        <v>29282.000000000011</v>
      </c>
      <c r="H14" s="32">
        <f t="shared" si="0"/>
        <v>1</v>
      </c>
      <c r="I14" s="32">
        <f t="shared" si="1"/>
        <v>1.1000000000000001</v>
      </c>
      <c r="J14" s="32">
        <f t="shared" si="2"/>
        <v>1.2100000000000002</v>
      </c>
      <c r="K14" s="32">
        <f t="shared" si="3"/>
        <v>1.3310000000000004</v>
      </c>
      <c r="L14" s="32">
        <f t="shared" si="4"/>
        <v>1.4641000000000006</v>
      </c>
    </row>
    <row r="15" spans="1:12" x14ac:dyDescent="0.25">
      <c r="A15" s="37" t="s">
        <v>59</v>
      </c>
      <c r="B15" s="39">
        <f>B13-B14</f>
        <v>80000</v>
      </c>
      <c r="C15" s="39">
        <f t="shared" ref="C15:F15" si="8">C13-C14</f>
        <v>88000.000000000015</v>
      </c>
      <c r="D15" s="39">
        <f t="shared" si="8"/>
        <v>96800.000000000029</v>
      </c>
      <c r="E15" s="39">
        <f t="shared" si="8"/>
        <v>106480.00000000003</v>
      </c>
      <c r="F15" s="39">
        <f t="shared" si="8"/>
        <v>117128.00000000004</v>
      </c>
      <c r="H15" s="32">
        <f t="shared" si="0"/>
        <v>1</v>
      </c>
      <c r="I15" s="32">
        <f t="shared" si="1"/>
        <v>1.1000000000000001</v>
      </c>
      <c r="J15" s="32">
        <f t="shared" si="2"/>
        <v>1.2100000000000004</v>
      </c>
      <c r="K15" s="32">
        <f t="shared" si="3"/>
        <v>1.3310000000000004</v>
      </c>
      <c r="L15" s="32">
        <f t="shared" si="4"/>
        <v>1.4641000000000006</v>
      </c>
    </row>
    <row r="16" spans="1:12" x14ac:dyDescent="0.25">
      <c r="A16" s="37" t="s">
        <v>60</v>
      </c>
      <c r="B16" s="119">
        <v>12000</v>
      </c>
      <c r="C16" s="119">
        <v>13200.000000000002</v>
      </c>
      <c r="D16" s="119">
        <v>14520.000000000004</v>
      </c>
      <c r="E16" s="119">
        <v>15972.000000000005</v>
      </c>
      <c r="F16" s="119">
        <v>17569.200000000008</v>
      </c>
      <c r="H16" s="32">
        <f t="shared" si="0"/>
        <v>1</v>
      </c>
      <c r="I16" s="32">
        <f t="shared" si="1"/>
        <v>1.1000000000000001</v>
      </c>
      <c r="J16" s="32">
        <f t="shared" si="2"/>
        <v>1.2100000000000004</v>
      </c>
      <c r="K16" s="32">
        <f t="shared" si="3"/>
        <v>1.3310000000000004</v>
      </c>
      <c r="L16" s="32">
        <f t="shared" si="4"/>
        <v>1.4641000000000006</v>
      </c>
    </row>
    <row r="17" spans="1:12" ht="15.75" x14ac:dyDescent="0.25">
      <c r="A17" s="41" t="s">
        <v>53</v>
      </c>
      <c r="B17" s="39">
        <f>B15-B16</f>
        <v>68000</v>
      </c>
      <c r="C17" s="39">
        <f t="shared" ref="C17:F17" si="9">C15-C16</f>
        <v>74800.000000000015</v>
      </c>
      <c r="D17" s="39">
        <f t="shared" si="9"/>
        <v>82280.000000000029</v>
      </c>
      <c r="E17" s="39">
        <f t="shared" si="9"/>
        <v>90508.000000000029</v>
      </c>
      <c r="F17" s="39">
        <f t="shared" si="9"/>
        <v>99558.800000000032</v>
      </c>
      <c r="H17" s="32">
        <f t="shared" si="0"/>
        <v>1</v>
      </c>
      <c r="I17" s="32">
        <f t="shared" si="1"/>
        <v>1.1000000000000003</v>
      </c>
      <c r="J17" s="32">
        <f t="shared" si="2"/>
        <v>1.2100000000000004</v>
      </c>
      <c r="K17" s="32">
        <f t="shared" si="3"/>
        <v>1.3310000000000004</v>
      </c>
      <c r="L17" s="32">
        <f t="shared" si="4"/>
        <v>1.4641000000000004</v>
      </c>
    </row>
  </sheetData>
  <sheetProtection password="CC8E" sheet="1" objects="1" scenarios="1" selectLockedCells="1"/>
  <dataValidations count="1">
    <dataValidation type="decimal" errorStyle="warning" allowBlank="1" showInputMessage="1" showErrorMessage="1" errorTitle="Warning: Wrong Format" error="Did you enter the correct value? Enter value in numbers." sqref="B2:F3 B6:F10 B12:F12 B14:F14 B16:F16">
      <formula1>0</formula1>
      <formula2>1000000000000</formula2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workbookViewId="0">
      <selection activeCell="B66" sqref="B66"/>
    </sheetView>
  </sheetViews>
  <sheetFormatPr defaultRowHeight="15" x14ac:dyDescent="0.25"/>
  <cols>
    <col min="1" max="1" width="11.7109375" style="4" bestFit="1" customWidth="1"/>
    <col min="2" max="2" width="10.5703125" style="34" bestFit="1" customWidth="1"/>
    <col min="3" max="3" width="13.42578125" style="34" bestFit="1" customWidth="1"/>
    <col min="4" max="16384" width="9.140625" style="4"/>
  </cols>
  <sheetData>
    <row r="1" spans="1:5" s="42" customFormat="1" x14ac:dyDescent="0.25">
      <c r="A1" s="36" t="s">
        <v>117</v>
      </c>
      <c r="B1" s="36" t="s">
        <v>119</v>
      </c>
      <c r="C1" s="36" t="s">
        <v>118</v>
      </c>
      <c r="D1" s="36" t="s">
        <v>121</v>
      </c>
      <c r="E1" s="36" t="s">
        <v>122</v>
      </c>
    </row>
    <row r="2" spans="1:5" x14ac:dyDescent="0.25">
      <c r="A2" s="121">
        <v>42216</v>
      </c>
      <c r="B2" s="137">
        <v>23</v>
      </c>
      <c r="C2" s="130">
        <v>35741.519999999997</v>
      </c>
      <c r="D2" s="5"/>
      <c r="E2" s="5"/>
    </row>
    <row r="3" spans="1:5" x14ac:dyDescent="0.25">
      <c r="A3" s="121">
        <v>42247</v>
      </c>
      <c r="B3" s="137">
        <v>21</v>
      </c>
      <c r="C3" s="130">
        <v>34726.51</v>
      </c>
      <c r="D3" s="5">
        <f>(B3-B2)/B2</f>
        <v>-8.6956521739130432E-2</v>
      </c>
      <c r="E3" s="5">
        <f>(C3-C2)/C2</f>
        <v>-2.8398624345019319E-2</v>
      </c>
    </row>
    <row r="4" spans="1:5" x14ac:dyDescent="0.25">
      <c r="A4" s="121">
        <v>42277</v>
      </c>
      <c r="B4" s="137">
        <v>23</v>
      </c>
      <c r="C4" s="130">
        <v>32287.41</v>
      </c>
      <c r="D4" s="5">
        <f t="shared" ref="D4:D61" si="0">(B4-B3)/B3</f>
        <v>9.5238095238095233E-2</v>
      </c>
      <c r="E4" s="5">
        <f t="shared" ref="E4:E61" si="1">(C4-C3)/C3</f>
        <v>-7.0237406523143323E-2</v>
      </c>
    </row>
    <row r="5" spans="1:5" x14ac:dyDescent="0.25">
      <c r="A5" s="121">
        <v>42307</v>
      </c>
      <c r="B5" s="137">
        <v>19</v>
      </c>
      <c r="C5" s="130">
        <v>34261.61</v>
      </c>
      <c r="D5" s="5">
        <f t="shared" si="0"/>
        <v>-0.17391304347826086</v>
      </c>
      <c r="E5" s="5">
        <f t="shared" si="1"/>
        <v>6.1144576167614581E-2</v>
      </c>
    </row>
    <row r="6" spans="1:5" x14ac:dyDescent="0.25">
      <c r="A6" s="121">
        <v>42338</v>
      </c>
      <c r="B6" s="137">
        <v>22</v>
      </c>
      <c r="C6" s="130">
        <v>32255.200000000001</v>
      </c>
      <c r="D6" s="5">
        <f t="shared" si="0"/>
        <v>0.15789473684210525</v>
      </c>
      <c r="E6" s="5">
        <f t="shared" si="1"/>
        <v>-5.8561462815086618E-2</v>
      </c>
    </row>
    <row r="7" spans="1:5" x14ac:dyDescent="0.25">
      <c r="A7" s="121">
        <v>42369</v>
      </c>
      <c r="B7" s="137">
        <v>22</v>
      </c>
      <c r="C7" s="130">
        <v>32816.31</v>
      </c>
      <c r="D7" s="5">
        <f t="shared" si="0"/>
        <v>0</v>
      </c>
      <c r="E7" s="5">
        <f t="shared" si="1"/>
        <v>1.7395954760782661E-2</v>
      </c>
    </row>
    <row r="8" spans="1:5" x14ac:dyDescent="0.25">
      <c r="A8" s="121">
        <v>42398</v>
      </c>
      <c r="B8" s="137">
        <v>21</v>
      </c>
      <c r="C8" s="130">
        <v>31298.6</v>
      </c>
      <c r="D8" s="5">
        <f t="shared" si="0"/>
        <v>-4.5454545454545456E-2</v>
      </c>
      <c r="E8" s="5">
        <f t="shared" si="1"/>
        <v>-4.6248648918784566E-2</v>
      </c>
    </row>
    <row r="9" spans="1:5" x14ac:dyDescent="0.25">
      <c r="A9" s="121">
        <v>42429</v>
      </c>
      <c r="B9" s="137">
        <v>22</v>
      </c>
      <c r="C9" s="130">
        <v>31369.51</v>
      </c>
      <c r="D9" s="5">
        <f t="shared" si="0"/>
        <v>4.7619047619047616E-2</v>
      </c>
      <c r="E9" s="5">
        <f t="shared" si="1"/>
        <v>2.2655965442543711E-3</v>
      </c>
    </row>
    <row r="10" spans="1:5" x14ac:dyDescent="0.25">
      <c r="A10" s="121">
        <v>42460</v>
      </c>
      <c r="B10" s="137">
        <v>20</v>
      </c>
      <c r="C10" s="130">
        <v>33139</v>
      </c>
      <c r="D10" s="5">
        <f t="shared" si="0"/>
        <v>-9.0909090909090912E-2</v>
      </c>
      <c r="E10" s="5">
        <f t="shared" si="1"/>
        <v>5.6407957918373657E-2</v>
      </c>
    </row>
    <row r="11" spans="1:5" x14ac:dyDescent="0.25">
      <c r="A11" s="121">
        <v>42489</v>
      </c>
      <c r="B11" s="137">
        <v>23</v>
      </c>
      <c r="C11" s="130">
        <v>34719.29</v>
      </c>
      <c r="D11" s="5">
        <f t="shared" si="0"/>
        <v>0.15</v>
      </c>
      <c r="E11" s="5">
        <f t="shared" si="1"/>
        <v>4.7686713539937864E-2</v>
      </c>
    </row>
    <row r="12" spans="1:5" x14ac:dyDescent="0.25">
      <c r="A12" s="121">
        <v>42521</v>
      </c>
      <c r="B12" s="137">
        <v>22</v>
      </c>
      <c r="C12" s="130">
        <v>36061.56</v>
      </c>
      <c r="D12" s="5">
        <f t="shared" si="0"/>
        <v>-4.3478260869565216E-2</v>
      </c>
      <c r="E12" s="5">
        <f t="shared" si="1"/>
        <v>3.8660640813795354E-2</v>
      </c>
    </row>
    <row r="13" spans="1:5" x14ac:dyDescent="0.25">
      <c r="A13" s="121">
        <v>42551</v>
      </c>
      <c r="B13" s="137">
        <v>20</v>
      </c>
      <c r="C13" s="130">
        <v>37783.54</v>
      </c>
      <c r="D13" s="5">
        <f t="shared" si="0"/>
        <v>-9.0909090909090912E-2</v>
      </c>
      <c r="E13" s="5">
        <f t="shared" si="1"/>
        <v>4.7751123356837677E-2</v>
      </c>
    </row>
    <row r="14" spans="1:5" x14ac:dyDescent="0.25">
      <c r="A14" s="121">
        <v>42581</v>
      </c>
      <c r="B14" s="137">
        <v>22</v>
      </c>
      <c r="C14" s="130">
        <v>39528.82</v>
      </c>
      <c r="D14" s="5">
        <f t="shared" si="0"/>
        <v>0.1</v>
      </c>
      <c r="E14" s="5">
        <f t="shared" si="1"/>
        <v>4.6191542666462665E-2</v>
      </c>
    </row>
    <row r="15" spans="1:5" x14ac:dyDescent="0.25">
      <c r="A15" s="121">
        <v>42613</v>
      </c>
      <c r="B15" s="137">
        <v>20</v>
      </c>
      <c r="C15" s="130">
        <v>39809.58</v>
      </c>
      <c r="D15" s="5">
        <f t="shared" si="0"/>
        <v>-9.0909090909090912E-2</v>
      </c>
      <c r="E15" s="5">
        <f t="shared" si="1"/>
        <v>7.1026658524084973E-3</v>
      </c>
    </row>
    <row r="16" spans="1:5" x14ac:dyDescent="0.25">
      <c r="A16" s="121">
        <v>42643</v>
      </c>
      <c r="B16" s="137">
        <v>20</v>
      </c>
      <c r="C16" s="130">
        <v>40541.81</v>
      </c>
      <c r="D16" s="5">
        <f t="shared" si="0"/>
        <v>0</v>
      </c>
      <c r="E16" s="5">
        <f t="shared" si="1"/>
        <v>1.8393311358723099E-2</v>
      </c>
    </row>
    <row r="17" spans="1:5" x14ac:dyDescent="0.25">
      <c r="A17" s="121">
        <v>42674</v>
      </c>
      <c r="B17" s="137">
        <v>20</v>
      </c>
      <c r="C17" s="130">
        <v>39893.839999999997</v>
      </c>
      <c r="D17" s="5">
        <f t="shared" si="0"/>
        <v>0</v>
      </c>
      <c r="E17" s="5">
        <f t="shared" si="1"/>
        <v>-1.598275952652339E-2</v>
      </c>
    </row>
    <row r="18" spans="1:5" x14ac:dyDescent="0.25">
      <c r="A18" s="121">
        <v>42704</v>
      </c>
      <c r="B18" s="137">
        <v>21</v>
      </c>
      <c r="C18" s="130">
        <v>42622.37</v>
      </c>
      <c r="D18" s="5">
        <f t="shared" si="0"/>
        <v>0.05</v>
      </c>
      <c r="E18" s="5">
        <f t="shared" si="1"/>
        <v>6.8394769718833945E-2</v>
      </c>
    </row>
    <row r="19" spans="1:5" x14ac:dyDescent="0.25">
      <c r="A19" s="121">
        <v>42734</v>
      </c>
      <c r="B19" s="137">
        <v>22</v>
      </c>
      <c r="C19" s="130">
        <v>47806.97</v>
      </c>
      <c r="D19" s="5">
        <f t="shared" si="0"/>
        <v>4.7619047619047616E-2</v>
      </c>
      <c r="E19" s="5">
        <f t="shared" si="1"/>
        <v>0.12164034989138328</v>
      </c>
    </row>
    <row r="20" spans="1:5" x14ac:dyDescent="0.25">
      <c r="A20" s="121">
        <v>42766</v>
      </c>
      <c r="B20" s="137">
        <v>19</v>
      </c>
      <c r="C20" s="130">
        <v>48757.67</v>
      </c>
      <c r="D20" s="5">
        <f t="shared" si="0"/>
        <v>-0.13636363636363635</v>
      </c>
      <c r="E20" s="5">
        <f t="shared" si="1"/>
        <v>1.9886221611618494E-2</v>
      </c>
    </row>
    <row r="21" spans="1:5" x14ac:dyDescent="0.25">
      <c r="A21" s="121">
        <v>42794</v>
      </c>
      <c r="B21" s="137">
        <v>22</v>
      </c>
      <c r="C21" s="130">
        <v>48534.23</v>
      </c>
      <c r="D21" s="5">
        <f t="shared" si="0"/>
        <v>0.15789473684210525</v>
      </c>
      <c r="E21" s="5">
        <f t="shared" si="1"/>
        <v>-4.5826636096432637E-3</v>
      </c>
    </row>
    <row r="22" spans="1:5" x14ac:dyDescent="0.25">
      <c r="A22" s="121">
        <v>42825</v>
      </c>
      <c r="B22" s="137">
        <v>23</v>
      </c>
      <c r="C22" s="130">
        <v>48155.93</v>
      </c>
      <c r="D22" s="5">
        <f t="shared" si="0"/>
        <v>4.5454545454545456E-2</v>
      </c>
      <c r="E22" s="5">
        <f t="shared" si="1"/>
        <v>-7.794498851635287E-3</v>
      </c>
    </row>
    <row r="23" spans="1:5" x14ac:dyDescent="0.25">
      <c r="A23" s="121">
        <v>42853</v>
      </c>
      <c r="B23" s="137">
        <v>19</v>
      </c>
      <c r="C23" s="130">
        <v>49300.9</v>
      </c>
      <c r="D23" s="5">
        <f t="shared" si="0"/>
        <v>-0.17391304347826086</v>
      </c>
      <c r="E23" s="5">
        <f t="shared" si="1"/>
        <v>2.377630335454016E-2</v>
      </c>
    </row>
    <row r="24" spans="1:5" x14ac:dyDescent="0.25">
      <c r="A24" s="121">
        <v>42886</v>
      </c>
      <c r="B24" s="137">
        <v>21</v>
      </c>
      <c r="C24" s="130">
        <v>50591.57</v>
      </c>
      <c r="D24" s="5">
        <f t="shared" si="0"/>
        <v>0.10526315789473684</v>
      </c>
      <c r="E24" s="5">
        <f t="shared" si="1"/>
        <v>2.617944094326875E-2</v>
      </c>
    </row>
    <row r="25" spans="1:5" x14ac:dyDescent="0.25">
      <c r="A25" s="121">
        <v>42916</v>
      </c>
      <c r="B25" s="137">
        <v>19</v>
      </c>
      <c r="C25" s="130">
        <v>46565.29</v>
      </c>
      <c r="D25" s="5">
        <f t="shared" si="0"/>
        <v>-9.5238095238095233E-2</v>
      </c>
      <c r="E25" s="5">
        <f t="shared" si="1"/>
        <v>-7.9584009747078396E-2</v>
      </c>
    </row>
    <row r="26" spans="1:5" x14ac:dyDescent="0.25">
      <c r="A26" s="121">
        <v>42947</v>
      </c>
      <c r="B26" s="137">
        <v>23</v>
      </c>
      <c r="C26" s="130">
        <v>46010.45</v>
      </c>
      <c r="D26" s="5">
        <f t="shared" si="0"/>
        <v>0.21052631578947367</v>
      </c>
      <c r="E26" s="5">
        <f t="shared" si="1"/>
        <v>-1.1915312886486991E-2</v>
      </c>
    </row>
    <row r="27" spans="1:5" x14ac:dyDescent="0.25">
      <c r="A27" s="121">
        <v>42978</v>
      </c>
      <c r="B27" s="137">
        <v>20</v>
      </c>
      <c r="C27" s="130">
        <v>41206.99</v>
      </c>
      <c r="D27" s="5">
        <f t="shared" si="0"/>
        <v>-0.13043478260869565</v>
      </c>
      <c r="E27" s="5">
        <f t="shared" si="1"/>
        <v>-0.10439932667470106</v>
      </c>
    </row>
    <row r="28" spans="1:5" x14ac:dyDescent="0.25">
      <c r="A28" s="121">
        <v>43007</v>
      </c>
      <c r="B28" s="137">
        <v>23</v>
      </c>
      <c r="C28" s="130">
        <v>42409.27</v>
      </c>
      <c r="D28" s="5">
        <f t="shared" si="0"/>
        <v>0.15</v>
      </c>
      <c r="E28" s="5">
        <f t="shared" si="1"/>
        <v>2.9176603289878703E-2</v>
      </c>
    </row>
    <row r="29" spans="1:5" x14ac:dyDescent="0.25">
      <c r="A29" s="121">
        <v>43039</v>
      </c>
      <c r="B29" s="137">
        <v>22</v>
      </c>
      <c r="C29" s="130">
        <v>39617.19</v>
      </c>
      <c r="D29" s="5">
        <f t="shared" si="0"/>
        <v>-4.3478260869565216E-2</v>
      </c>
      <c r="E29" s="5">
        <f t="shared" si="1"/>
        <v>-6.5836549414785839E-2</v>
      </c>
    </row>
    <row r="30" spans="1:5" x14ac:dyDescent="0.25">
      <c r="A30" s="121">
        <v>43069</v>
      </c>
      <c r="B30" s="137">
        <v>21</v>
      </c>
      <c r="C30" s="130">
        <v>40010.36</v>
      </c>
      <c r="D30" s="5">
        <f t="shared" si="0"/>
        <v>-4.5454545454545456E-2</v>
      </c>
      <c r="E30" s="5">
        <f t="shared" si="1"/>
        <v>9.9242273366687093E-3</v>
      </c>
    </row>
    <row r="31" spans="1:5" x14ac:dyDescent="0.25">
      <c r="A31" s="121">
        <v>43098</v>
      </c>
      <c r="B31" s="137">
        <v>20</v>
      </c>
      <c r="C31" s="130">
        <v>40471.480000000003</v>
      </c>
      <c r="D31" s="5">
        <f t="shared" si="0"/>
        <v>-4.7619047619047616E-2</v>
      </c>
      <c r="E31" s="5">
        <f t="shared" si="1"/>
        <v>1.1525015021109598E-2</v>
      </c>
    </row>
    <row r="32" spans="1:5" x14ac:dyDescent="0.25">
      <c r="A32" s="121">
        <v>43131</v>
      </c>
      <c r="B32" s="137">
        <v>23</v>
      </c>
      <c r="C32" s="130">
        <v>44049.05</v>
      </c>
      <c r="D32" s="5">
        <f t="shared" si="0"/>
        <v>0.15</v>
      </c>
      <c r="E32" s="5">
        <f t="shared" si="1"/>
        <v>8.8397310896463369E-2</v>
      </c>
    </row>
    <row r="33" spans="1:5" x14ac:dyDescent="0.25">
      <c r="A33" s="121">
        <v>43159</v>
      </c>
      <c r="B33" s="137">
        <v>20</v>
      </c>
      <c r="C33" s="130">
        <v>43239.45</v>
      </c>
      <c r="D33" s="5">
        <f t="shared" si="0"/>
        <v>-0.13043478260869565</v>
      </c>
      <c r="E33" s="5">
        <f t="shared" si="1"/>
        <v>-1.8379511022371783E-2</v>
      </c>
    </row>
    <row r="34" spans="1:5" x14ac:dyDescent="0.25">
      <c r="A34" s="121">
        <v>43189</v>
      </c>
      <c r="B34" s="137">
        <v>23</v>
      </c>
      <c r="C34" s="130">
        <v>45560.3</v>
      </c>
      <c r="D34" s="5">
        <f t="shared" si="0"/>
        <v>0.15</v>
      </c>
      <c r="E34" s="5">
        <f t="shared" si="1"/>
        <v>5.3674364498160959E-2</v>
      </c>
    </row>
    <row r="35" spans="1:5" x14ac:dyDescent="0.25">
      <c r="A35" s="121">
        <v>43220</v>
      </c>
      <c r="B35" s="137">
        <v>19</v>
      </c>
      <c r="C35" s="130">
        <v>45488.86</v>
      </c>
      <c r="D35" s="5">
        <f t="shared" si="0"/>
        <v>-0.17391304347826086</v>
      </c>
      <c r="E35" s="5">
        <f t="shared" si="1"/>
        <v>-1.5680318171742136E-3</v>
      </c>
    </row>
    <row r="36" spans="1:5" x14ac:dyDescent="0.25">
      <c r="A36" s="121">
        <v>43251</v>
      </c>
      <c r="B36" s="137">
        <v>19</v>
      </c>
      <c r="C36" s="130">
        <v>42846.64</v>
      </c>
      <c r="D36" s="5">
        <f t="shared" si="0"/>
        <v>0</v>
      </c>
      <c r="E36" s="5">
        <f t="shared" si="1"/>
        <v>-5.808499047898763E-2</v>
      </c>
    </row>
    <row r="37" spans="1:5" x14ac:dyDescent="0.25">
      <c r="A37" s="121">
        <v>43280</v>
      </c>
      <c r="B37" s="137">
        <v>21</v>
      </c>
      <c r="C37" s="130">
        <v>41910.9</v>
      </c>
      <c r="D37" s="5">
        <f t="shared" si="0"/>
        <v>0.10526315789473684</v>
      </c>
      <c r="E37" s="5">
        <f t="shared" si="1"/>
        <v>-2.183928541421213E-2</v>
      </c>
    </row>
    <row r="38" spans="1:5" x14ac:dyDescent="0.25">
      <c r="A38" s="121">
        <v>43312</v>
      </c>
      <c r="B38" s="137">
        <v>20</v>
      </c>
      <c r="C38" s="130">
        <v>42712.43</v>
      </c>
      <c r="D38" s="5">
        <f t="shared" si="0"/>
        <v>-4.7619047619047616E-2</v>
      </c>
      <c r="E38" s="5">
        <f t="shared" si="1"/>
        <v>1.912461913249295E-2</v>
      </c>
    </row>
    <row r="39" spans="1:5" x14ac:dyDescent="0.25">
      <c r="A39" s="121">
        <v>43343</v>
      </c>
      <c r="B39" s="137">
        <v>22</v>
      </c>
      <c r="C39" s="130">
        <v>41742.239999999998</v>
      </c>
      <c r="D39" s="5">
        <f t="shared" si="0"/>
        <v>0.1</v>
      </c>
      <c r="E39" s="5">
        <f t="shared" si="1"/>
        <v>-2.2714465086627063E-2</v>
      </c>
    </row>
    <row r="40" spans="1:5" x14ac:dyDescent="0.25">
      <c r="A40" s="121">
        <v>43371</v>
      </c>
      <c r="B40" s="137">
        <v>21</v>
      </c>
      <c r="C40" s="130">
        <v>40998.589999999997</v>
      </c>
      <c r="D40" s="5">
        <f t="shared" si="0"/>
        <v>-4.5454545454545456E-2</v>
      </c>
      <c r="E40" s="5">
        <f t="shared" si="1"/>
        <v>-1.7815287344426209E-2</v>
      </c>
    </row>
    <row r="41" spans="1:5" x14ac:dyDescent="0.25">
      <c r="A41" s="121">
        <v>43404</v>
      </c>
      <c r="B41" s="137">
        <v>22</v>
      </c>
      <c r="C41" s="130">
        <v>41649.360000000001</v>
      </c>
      <c r="D41" s="5">
        <f t="shared" si="0"/>
        <v>4.7619047619047616E-2</v>
      </c>
      <c r="E41" s="5">
        <f t="shared" si="1"/>
        <v>1.5872984900212522E-2</v>
      </c>
    </row>
    <row r="42" spans="1:5" x14ac:dyDescent="0.25">
      <c r="A42" s="121">
        <v>43434</v>
      </c>
      <c r="B42" s="137">
        <v>23</v>
      </c>
      <c r="C42" s="130">
        <v>40496.03</v>
      </c>
      <c r="D42" s="5">
        <f t="shared" si="0"/>
        <v>4.5454545454545456E-2</v>
      </c>
      <c r="E42" s="5">
        <f t="shared" si="1"/>
        <v>-2.7691421909004164E-2</v>
      </c>
    </row>
    <row r="43" spans="1:5" x14ac:dyDescent="0.25">
      <c r="A43" s="121">
        <v>43465</v>
      </c>
      <c r="B43" s="137">
        <v>23</v>
      </c>
      <c r="C43" s="130">
        <v>37066.67</v>
      </c>
      <c r="D43" s="5">
        <f t="shared" si="0"/>
        <v>0</v>
      </c>
      <c r="E43" s="5">
        <f t="shared" si="1"/>
        <v>-8.4683856664468107E-2</v>
      </c>
    </row>
    <row r="44" spans="1:5" x14ac:dyDescent="0.25">
      <c r="A44" s="121">
        <v>43496</v>
      </c>
      <c r="B44" s="137">
        <v>23</v>
      </c>
      <c r="C44" s="130">
        <v>40799.53</v>
      </c>
      <c r="D44" s="5">
        <f t="shared" si="0"/>
        <v>0</v>
      </c>
      <c r="E44" s="5">
        <f t="shared" si="1"/>
        <v>0.10070664561990599</v>
      </c>
    </row>
    <row r="45" spans="1:5" x14ac:dyDescent="0.25">
      <c r="A45" s="121">
        <v>43524</v>
      </c>
      <c r="B45" s="137">
        <v>22</v>
      </c>
      <c r="C45" s="130">
        <v>39054.61</v>
      </c>
      <c r="D45" s="5">
        <f t="shared" si="0"/>
        <v>-4.3478260869565216E-2</v>
      </c>
      <c r="E45" s="5">
        <f t="shared" si="1"/>
        <v>-4.2768139731021372E-2</v>
      </c>
    </row>
    <row r="46" spans="1:5" x14ac:dyDescent="0.25">
      <c r="A46" s="121">
        <v>43553</v>
      </c>
      <c r="B46" s="137">
        <v>20</v>
      </c>
      <c r="C46" s="130">
        <v>38649.339999999997</v>
      </c>
      <c r="D46" s="5">
        <f t="shared" si="0"/>
        <v>-9.0909090909090912E-2</v>
      </c>
      <c r="E46" s="5">
        <f t="shared" si="1"/>
        <v>-1.0377007989581872E-2</v>
      </c>
    </row>
    <row r="47" spans="1:5" x14ac:dyDescent="0.25">
      <c r="A47" s="121">
        <v>43585</v>
      </c>
      <c r="B47" s="137">
        <v>20</v>
      </c>
      <c r="C47" s="130">
        <v>36784.44</v>
      </c>
      <c r="D47" s="5">
        <f t="shared" si="0"/>
        <v>0</v>
      </c>
      <c r="E47" s="5">
        <f t="shared" si="1"/>
        <v>-4.8251794209163583E-2</v>
      </c>
    </row>
    <row r="48" spans="1:5" x14ac:dyDescent="0.25">
      <c r="A48" s="121">
        <v>43615</v>
      </c>
      <c r="B48" s="137">
        <v>23</v>
      </c>
      <c r="C48" s="130">
        <v>35974.79</v>
      </c>
      <c r="D48" s="5">
        <f t="shared" si="0"/>
        <v>0.15</v>
      </c>
      <c r="E48" s="5">
        <f t="shared" si="1"/>
        <v>-2.2010665379165795E-2</v>
      </c>
    </row>
    <row r="49" spans="1:5" x14ac:dyDescent="0.25">
      <c r="A49" s="121">
        <v>43644</v>
      </c>
      <c r="B49" s="137">
        <v>19</v>
      </c>
      <c r="C49" s="130">
        <v>33901.58</v>
      </c>
      <c r="D49" s="5">
        <f t="shared" si="0"/>
        <v>-0.17391304347826086</v>
      </c>
      <c r="E49" s="5">
        <f t="shared" si="1"/>
        <v>-5.7629523341206412E-2</v>
      </c>
    </row>
    <row r="50" spans="1:5" x14ac:dyDescent="0.25">
      <c r="A50" s="121">
        <v>43677</v>
      </c>
      <c r="B50" s="137">
        <v>19</v>
      </c>
      <c r="C50" s="130">
        <v>31938.48</v>
      </c>
      <c r="D50" s="5">
        <f t="shared" si="0"/>
        <v>0</v>
      </c>
      <c r="E50" s="5">
        <f t="shared" si="1"/>
        <v>-5.7905855715279411E-2</v>
      </c>
    </row>
    <row r="51" spans="1:5" x14ac:dyDescent="0.25">
      <c r="A51" s="121">
        <v>43707</v>
      </c>
      <c r="B51" s="137">
        <v>23</v>
      </c>
      <c r="C51" s="130">
        <v>29672.12</v>
      </c>
      <c r="D51" s="5">
        <f t="shared" si="0"/>
        <v>0.21052631578947367</v>
      </c>
      <c r="E51" s="5">
        <f t="shared" si="1"/>
        <v>-7.0960170928610275E-2</v>
      </c>
    </row>
    <row r="52" spans="1:5" x14ac:dyDescent="0.25">
      <c r="A52" s="121">
        <v>43738</v>
      </c>
      <c r="B52" s="137">
        <v>22</v>
      </c>
      <c r="C52" s="130">
        <v>32078.85</v>
      </c>
      <c r="D52" s="5">
        <f t="shared" si="0"/>
        <v>-4.3478260869565216E-2</v>
      </c>
      <c r="E52" s="5">
        <f t="shared" si="1"/>
        <v>8.1110820527822064E-2</v>
      </c>
    </row>
    <row r="53" spans="1:5" x14ac:dyDescent="0.25">
      <c r="A53" s="121">
        <v>43769</v>
      </c>
      <c r="B53" s="137">
        <v>20</v>
      </c>
      <c r="C53" s="130">
        <v>34203.68</v>
      </c>
      <c r="D53" s="5">
        <f t="shared" si="0"/>
        <v>-9.0909090909090912E-2</v>
      </c>
      <c r="E53" s="5">
        <f t="shared" si="1"/>
        <v>6.6237723609169338E-2</v>
      </c>
    </row>
    <row r="54" spans="1:5" x14ac:dyDescent="0.25">
      <c r="A54" s="121">
        <v>43798</v>
      </c>
      <c r="B54" s="137">
        <v>22</v>
      </c>
      <c r="C54" s="130">
        <v>39287.65</v>
      </c>
      <c r="D54" s="5">
        <f t="shared" si="0"/>
        <v>0.1</v>
      </c>
      <c r="E54" s="5">
        <f t="shared" si="1"/>
        <v>0.14863809976002584</v>
      </c>
    </row>
    <row r="55" spans="1:5" x14ac:dyDescent="0.25">
      <c r="A55" s="121">
        <v>43830</v>
      </c>
      <c r="B55" s="137">
        <v>21</v>
      </c>
      <c r="C55" s="130">
        <v>40735.08</v>
      </c>
      <c r="D55" s="5">
        <f t="shared" si="0"/>
        <v>-4.5454545454545456E-2</v>
      </c>
      <c r="E55" s="5">
        <f t="shared" si="1"/>
        <v>3.6841857428479438E-2</v>
      </c>
    </row>
    <row r="56" spans="1:5" x14ac:dyDescent="0.25">
      <c r="A56" s="121">
        <v>43861</v>
      </c>
      <c r="B56" s="137">
        <v>20</v>
      </c>
      <c r="C56" s="130">
        <v>41630.93</v>
      </c>
      <c r="D56" s="5">
        <f t="shared" si="0"/>
        <v>-4.7619047619047616E-2</v>
      </c>
      <c r="E56" s="5">
        <f t="shared" si="1"/>
        <v>2.1992101157037092E-2</v>
      </c>
    </row>
    <row r="57" spans="1:5" x14ac:dyDescent="0.25">
      <c r="A57" s="121">
        <v>43889</v>
      </c>
      <c r="B57" s="137">
        <v>21</v>
      </c>
      <c r="C57" s="130">
        <v>37983.620000000003</v>
      </c>
      <c r="D57" s="5">
        <f t="shared" si="0"/>
        <v>0.05</v>
      </c>
      <c r="E57" s="5">
        <f t="shared" si="1"/>
        <v>-8.7610581843835758E-2</v>
      </c>
    </row>
    <row r="58" spans="1:5" x14ac:dyDescent="0.25">
      <c r="A58" s="121">
        <v>43921</v>
      </c>
      <c r="B58" s="137">
        <v>20</v>
      </c>
      <c r="C58" s="130">
        <v>29231.63</v>
      </c>
      <c r="D58" s="5">
        <f t="shared" si="0"/>
        <v>-4.7619047619047616E-2</v>
      </c>
      <c r="E58" s="5">
        <f t="shared" si="1"/>
        <v>-0.23041484724204805</v>
      </c>
    </row>
    <row r="59" spans="1:5" x14ac:dyDescent="0.25">
      <c r="A59" s="121">
        <v>43951</v>
      </c>
      <c r="B59" s="137">
        <v>23</v>
      </c>
      <c r="C59" s="130">
        <v>34111.64</v>
      </c>
      <c r="D59" s="5">
        <f t="shared" si="0"/>
        <v>0.15</v>
      </c>
      <c r="E59" s="5">
        <f t="shared" si="1"/>
        <v>0.16694279450034083</v>
      </c>
    </row>
    <row r="60" spans="1:5" x14ac:dyDescent="0.25">
      <c r="A60" s="121">
        <v>43980</v>
      </c>
      <c r="B60" s="137">
        <v>22</v>
      </c>
      <c r="C60" s="130">
        <v>33931.230000000003</v>
      </c>
      <c r="D60" s="5">
        <f t="shared" si="0"/>
        <v>-4.3478260869565216E-2</v>
      </c>
      <c r="E60" s="5">
        <f t="shared" si="1"/>
        <v>-5.2888105057392791E-3</v>
      </c>
    </row>
    <row r="61" spans="1:5" x14ac:dyDescent="0.25">
      <c r="A61" s="121">
        <v>44012</v>
      </c>
      <c r="B61" s="137">
        <v>22</v>
      </c>
      <c r="C61" s="130">
        <v>34421.919999999998</v>
      </c>
      <c r="D61" s="5">
        <f t="shared" si="0"/>
        <v>0</v>
      </c>
      <c r="E61" s="5">
        <f t="shared" si="1"/>
        <v>1.4461308947538743E-2</v>
      </c>
    </row>
    <row r="62" spans="1:5" x14ac:dyDescent="0.25">
      <c r="A62" s="43"/>
      <c r="B62" s="131"/>
      <c r="D62" s="44"/>
      <c r="E62" s="44"/>
    </row>
    <row r="63" spans="1:5" x14ac:dyDescent="0.25">
      <c r="A63" s="44"/>
      <c r="B63" s="131"/>
      <c r="C63" s="132"/>
      <c r="D63" s="44"/>
      <c r="E63" s="44"/>
    </row>
    <row r="64" spans="1:5" x14ac:dyDescent="0.25">
      <c r="A64" s="45" t="s">
        <v>120</v>
      </c>
      <c r="B64" s="36">
        <f>SLOPE(D3:D61,E3:E61)</f>
        <v>0.2217451670199117</v>
      </c>
      <c r="C64" s="84"/>
      <c r="D64" s="46"/>
      <c r="E64" s="46"/>
    </row>
    <row r="65" spans="1:5" x14ac:dyDescent="0.25">
      <c r="A65" s="45" t="s">
        <v>124</v>
      </c>
      <c r="B65" s="32">
        <f>'Annual Return on Market - Rm'!C13</f>
        <v>0.21379364863641898</v>
      </c>
      <c r="C65" s="133"/>
      <c r="D65" s="47"/>
      <c r="E65" s="47"/>
    </row>
    <row r="66" spans="1:5" x14ac:dyDescent="0.25">
      <c r="A66" s="5" t="s">
        <v>126</v>
      </c>
      <c r="B66" s="138">
        <v>7.0000000000000007E-2</v>
      </c>
      <c r="C66" s="134"/>
      <c r="D66" s="48"/>
      <c r="E66" s="48"/>
    </row>
    <row r="67" spans="1:5" x14ac:dyDescent="0.25">
      <c r="A67" s="5"/>
      <c r="B67" s="31"/>
    </row>
    <row r="68" spans="1:5" x14ac:dyDescent="0.25">
      <c r="A68" s="5" t="s">
        <v>125</v>
      </c>
      <c r="B68" s="32">
        <f>B66+(B64*(B65-B66))</f>
        <v>0.10188554663328522</v>
      </c>
      <c r="C68" s="109"/>
      <c r="D68" s="49"/>
      <c r="E68" s="49"/>
    </row>
  </sheetData>
  <sheetProtection selectLockedCells="1"/>
  <dataValidations count="2">
    <dataValidation type="decimal" allowBlank="1" showInputMessage="1" showErrorMessage="1" errorTitle="Warning: Wrong Format" error="Did you enter the correct value? Enter value in numbers." sqref="B2:C61">
      <formula1>0</formula1>
      <formula2>1000000000</formula2>
    </dataValidation>
    <dataValidation type="date" errorStyle="warning" allowBlank="1" showInputMessage="1" showErrorMessage="1" errorTitle="Warning: Wrong Format" error="Enter Date in This Format MM/DD/YYYY" sqref="A2:A61">
      <formula1>1</formula1>
      <formula2>55153</formula2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workbookViewId="0">
      <selection activeCell="B2" sqref="B2:B11"/>
    </sheetView>
  </sheetViews>
  <sheetFormatPr defaultRowHeight="15" x14ac:dyDescent="0.25"/>
  <cols>
    <col min="1" max="1" width="10.140625" style="4" bestFit="1" customWidth="1"/>
    <col min="2" max="16384" width="9.140625" style="4"/>
  </cols>
  <sheetData>
    <row r="1" spans="1:3" s="42" customFormat="1" x14ac:dyDescent="0.25">
      <c r="A1" s="36" t="s">
        <v>127</v>
      </c>
      <c r="B1" s="36" t="s">
        <v>128</v>
      </c>
      <c r="C1" s="36" t="s">
        <v>122</v>
      </c>
    </row>
    <row r="2" spans="1:3" x14ac:dyDescent="0.25">
      <c r="A2" s="123">
        <v>40907</v>
      </c>
      <c r="B2" s="124">
        <v>11347.66</v>
      </c>
      <c r="C2" s="5"/>
    </row>
    <row r="3" spans="1:3" x14ac:dyDescent="0.25">
      <c r="A3" s="123">
        <v>41274</v>
      </c>
      <c r="B3" s="124">
        <v>16905.330000000002</v>
      </c>
      <c r="C3" s="5">
        <f>(B3-B2)/B2</f>
        <v>0.48976352833976361</v>
      </c>
    </row>
    <row r="4" spans="1:3" x14ac:dyDescent="0.25">
      <c r="A4" s="123">
        <v>41639</v>
      </c>
      <c r="B4" s="124">
        <v>25261.14</v>
      </c>
      <c r="C4" s="5">
        <f t="shared" ref="C4:C11" si="0">(B4-B3)/B3</f>
        <v>0.49427074183112646</v>
      </c>
    </row>
    <row r="5" spans="1:3" x14ac:dyDescent="0.25">
      <c r="A5" s="123">
        <v>42004</v>
      </c>
      <c r="B5" s="124">
        <v>32131.279999999999</v>
      </c>
      <c r="C5" s="5">
        <f t="shared" si="0"/>
        <v>0.27196476485225923</v>
      </c>
    </row>
    <row r="6" spans="1:3" x14ac:dyDescent="0.25">
      <c r="A6" s="123">
        <v>42369</v>
      </c>
      <c r="B6" s="124">
        <v>32816.31</v>
      </c>
      <c r="C6" s="5">
        <f t="shared" si="0"/>
        <v>2.1319723335018054E-2</v>
      </c>
    </row>
    <row r="7" spans="1:3" x14ac:dyDescent="0.25">
      <c r="A7" s="123">
        <v>42734</v>
      </c>
      <c r="B7" s="124">
        <v>47806.97</v>
      </c>
      <c r="C7" s="5">
        <f t="shared" si="0"/>
        <v>0.45680516791802628</v>
      </c>
    </row>
    <row r="8" spans="1:3" x14ac:dyDescent="0.25">
      <c r="A8" s="123">
        <v>43098</v>
      </c>
      <c r="B8" s="124">
        <v>40471.480000000003</v>
      </c>
      <c r="C8" s="5">
        <f t="shared" si="0"/>
        <v>-0.15343975993458689</v>
      </c>
    </row>
    <row r="9" spans="1:3" x14ac:dyDescent="0.25">
      <c r="A9" s="123">
        <v>43465</v>
      </c>
      <c r="B9" s="124">
        <v>37066.67</v>
      </c>
      <c r="C9" s="5">
        <f t="shared" si="0"/>
        <v>-8.4128625886673886E-2</v>
      </c>
    </row>
    <row r="10" spans="1:3" x14ac:dyDescent="0.25">
      <c r="A10" s="123">
        <v>43830</v>
      </c>
      <c r="B10" s="125">
        <v>40735.08</v>
      </c>
      <c r="C10" s="5">
        <f t="shared" si="0"/>
        <v>9.8967886783463521E-2</v>
      </c>
    </row>
    <row r="11" spans="1:3" x14ac:dyDescent="0.25">
      <c r="A11" s="123">
        <v>44196</v>
      </c>
      <c r="B11" s="124">
        <v>43755.38</v>
      </c>
      <c r="C11" s="5">
        <f t="shared" si="0"/>
        <v>7.4144938465813631E-2</v>
      </c>
    </row>
    <row r="12" spans="1:3" x14ac:dyDescent="0.25">
      <c r="A12" s="50"/>
    </row>
    <row r="13" spans="1:3" x14ac:dyDescent="0.25">
      <c r="A13" s="51" t="s">
        <v>129</v>
      </c>
      <c r="B13" s="51"/>
      <c r="C13" s="14">
        <f>AVERAGE(C2:C9)</f>
        <v>0.21379364863641898</v>
      </c>
    </row>
    <row r="14" spans="1:3" x14ac:dyDescent="0.25">
      <c r="A14" s="50"/>
    </row>
    <row r="15" spans="1:3" x14ac:dyDescent="0.25">
      <c r="A15" s="50"/>
    </row>
    <row r="16" spans="1:3" x14ac:dyDescent="0.25">
      <c r="A16" s="50"/>
    </row>
    <row r="17" spans="1:1" x14ac:dyDescent="0.25">
      <c r="A17" s="50"/>
    </row>
    <row r="18" spans="1:1" x14ac:dyDescent="0.25">
      <c r="A18" s="50"/>
    </row>
    <row r="19" spans="1:1" x14ac:dyDescent="0.25">
      <c r="A19" s="50"/>
    </row>
    <row r="20" spans="1:1" x14ac:dyDescent="0.25">
      <c r="A20" s="50"/>
    </row>
    <row r="21" spans="1:1" x14ac:dyDescent="0.25">
      <c r="A21" s="50"/>
    </row>
    <row r="22" spans="1:1" x14ac:dyDescent="0.25">
      <c r="A22" s="50"/>
    </row>
    <row r="23" spans="1:1" x14ac:dyDescent="0.25">
      <c r="A23" s="50"/>
    </row>
    <row r="24" spans="1:1" x14ac:dyDescent="0.25">
      <c r="A24" s="50"/>
    </row>
    <row r="25" spans="1:1" x14ac:dyDescent="0.25">
      <c r="A25" s="50"/>
    </row>
    <row r="26" spans="1:1" x14ac:dyDescent="0.25">
      <c r="A26" s="50"/>
    </row>
    <row r="27" spans="1:1" x14ac:dyDescent="0.25">
      <c r="A27" s="50"/>
    </row>
    <row r="28" spans="1:1" x14ac:dyDescent="0.25">
      <c r="A28" s="50"/>
    </row>
    <row r="29" spans="1:1" x14ac:dyDescent="0.25">
      <c r="A29" s="50"/>
    </row>
    <row r="30" spans="1:1" x14ac:dyDescent="0.25">
      <c r="A30" s="50"/>
    </row>
    <row r="31" spans="1:1" x14ac:dyDescent="0.25">
      <c r="A31" s="50"/>
    </row>
    <row r="32" spans="1:1" x14ac:dyDescent="0.25">
      <c r="A32" s="50"/>
    </row>
    <row r="33" spans="1:1" x14ac:dyDescent="0.25">
      <c r="A33" s="50"/>
    </row>
    <row r="34" spans="1:1" x14ac:dyDescent="0.25">
      <c r="A34" s="50"/>
    </row>
    <row r="35" spans="1:1" x14ac:dyDescent="0.25">
      <c r="A35" s="50"/>
    </row>
    <row r="36" spans="1:1" x14ac:dyDescent="0.25">
      <c r="A36" s="50"/>
    </row>
    <row r="37" spans="1:1" x14ac:dyDescent="0.25">
      <c r="A37" s="50"/>
    </row>
    <row r="38" spans="1:1" x14ac:dyDescent="0.25">
      <c r="A38" s="50"/>
    </row>
    <row r="39" spans="1:1" x14ac:dyDescent="0.25">
      <c r="A39" s="50"/>
    </row>
    <row r="40" spans="1:1" x14ac:dyDescent="0.25">
      <c r="A40" s="50"/>
    </row>
    <row r="41" spans="1:1" x14ac:dyDescent="0.25">
      <c r="A41" s="50"/>
    </row>
    <row r="42" spans="1:1" x14ac:dyDescent="0.25">
      <c r="A42" s="50"/>
    </row>
    <row r="43" spans="1:1" x14ac:dyDescent="0.25">
      <c r="A43" s="50"/>
    </row>
    <row r="44" spans="1:1" x14ac:dyDescent="0.25">
      <c r="A44" s="50"/>
    </row>
    <row r="45" spans="1:1" x14ac:dyDescent="0.25">
      <c r="A45" s="50"/>
    </row>
    <row r="46" spans="1:1" x14ac:dyDescent="0.25">
      <c r="A46" s="50"/>
    </row>
    <row r="47" spans="1:1" x14ac:dyDescent="0.25">
      <c r="A47" s="50"/>
    </row>
    <row r="48" spans="1:1" x14ac:dyDescent="0.25">
      <c r="A48" s="50"/>
    </row>
    <row r="49" spans="1:1" x14ac:dyDescent="0.25">
      <c r="A49" s="50"/>
    </row>
    <row r="50" spans="1:1" x14ac:dyDescent="0.25">
      <c r="A50" s="50"/>
    </row>
    <row r="51" spans="1:1" x14ac:dyDescent="0.25">
      <c r="A51" s="50"/>
    </row>
    <row r="52" spans="1:1" x14ac:dyDescent="0.25">
      <c r="A52" s="50"/>
    </row>
    <row r="53" spans="1:1" x14ac:dyDescent="0.25">
      <c r="A53" s="50"/>
    </row>
    <row r="54" spans="1:1" x14ac:dyDescent="0.25">
      <c r="A54" s="50"/>
    </row>
    <row r="55" spans="1:1" x14ac:dyDescent="0.25">
      <c r="A55" s="50"/>
    </row>
    <row r="56" spans="1:1" x14ac:dyDescent="0.25">
      <c r="A56" s="50"/>
    </row>
    <row r="57" spans="1:1" x14ac:dyDescent="0.25">
      <c r="A57" s="50"/>
    </row>
    <row r="58" spans="1:1" x14ac:dyDescent="0.25">
      <c r="A58" s="50"/>
    </row>
    <row r="59" spans="1:1" x14ac:dyDescent="0.25">
      <c r="A59" s="50"/>
    </row>
    <row r="60" spans="1:1" x14ac:dyDescent="0.25">
      <c r="A60" s="50"/>
    </row>
    <row r="61" spans="1:1" x14ac:dyDescent="0.25">
      <c r="A61" s="50"/>
    </row>
  </sheetData>
  <sortState ref="A1:B10">
    <sortCondition ref="A1:A10"/>
  </sortState>
  <mergeCells count="1">
    <mergeCell ref="A13:B13"/>
  </mergeCells>
  <dataValidations count="2">
    <dataValidation type="date" errorStyle="warning" allowBlank="1" showInputMessage="1" showErrorMessage="1" errorTitle="Warning: Wrong Format" error="Enter Date in This Format MM/DD/YYYY" sqref="A2:A11">
      <formula1>1</formula1>
      <formula2>55153</formula2>
    </dataValidation>
    <dataValidation type="decimal" errorStyle="warning" allowBlank="1" showInputMessage="1" showErrorMessage="1" errorTitle="Warning: Wrong Format" error="Enter Date in This Format MM/DD/YYYY" sqref="B2:B11">
      <formula1>0</formula1>
      <formula2>1000000000</formula2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workbookViewId="0">
      <selection activeCell="B4" sqref="B4"/>
    </sheetView>
  </sheetViews>
  <sheetFormatPr defaultRowHeight="15" x14ac:dyDescent="0.25"/>
  <cols>
    <col min="1" max="1" width="40.140625" style="4" customWidth="1"/>
    <col min="2" max="2" width="19" style="4" bestFit="1" customWidth="1"/>
    <col min="3" max="3" width="19.28515625" style="4" bestFit="1" customWidth="1"/>
    <col min="4" max="4" width="18" style="4" bestFit="1" customWidth="1"/>
    <col min="5" max="5" width="19.140625" style="4" bestFit="1" customWidth="1"/>
    <col min="6" max="6" width="9.140625" style="4"/>
    <col min="7" max="7" width="19" style="4" bestFit="1" customWidth="1"/>
    <col min="8" max="16384" width="9.140625" style="4"/>
  </cols>
  <sheetData>
    <row r="1" spans="1:14" ht="15" customHeight="1" x14ac:dyDescent="0.25">
      <c r="A1" s="52" t="s">
        <v>101</v>
      </c>
      <c r="B1" s="53" t="s">
        <v>102</v>
      </c>
    </row>
    <row r="2" spans="1:14" ht="15" customHeight="1" x14ac:dyDescent="0.25">
      <c r="A2" s="54" t="s">
        <v>178</v>
      </c>
      <c r="B2" s="126">
        <v>1000000000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15" customHeight="1" x14ac:dyDescent="0.25">
      <c r="A3" s="54" t="s">
        <v>140</v>
      </c>
      <c r="B3" s="126">
        <v>10000000</v>
      </c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</row>
    <row r="4" spans="1:14" ht="15" customHeight="1" x14ac:dyDescent="0.25">
      <c r="A4" s="54" t="s">
        <v>179</v>
      </c>
      <c r="B4" s="127">
        <v>5</v>
      </c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</row>
    <row r="5" spans="1:14" ht="15" customHeight="1" x14ac:dyDescent="0.25">
      <c r="A5" s="54" t="s">
        <v>136</v>
      </c>
      <c r="B5" s="127">
        <v>100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</row>
    <row r="6" spans="1:14" ht="15" customHeight="1" x14ac:dyDescent="0.25">
      <c r="A6" s="54" t="s">
        <v>141</v>
      </c>
      <c r="B6" s="127">
        <v>50</v>
      </c>
    </row>
    <row r="7" spans="1:14" ht="15" customHeight="1" x14ac:dyDescent="0.25">
      <c r="A7" s="54" t="s">
        <v>205</v>
      </c>
      <c r="B7" s="127">
        <v>10</v>
      </c>
    </row>
    <row r="8" spans="1:14" ht="15" customHeight="1" x14ac:dyDescent="0.25">
      <c r="A8" s="54" t="s">
        <v>207</v>
      </c>
      <c r="B8" s="127">
        <v>10</v>
      </c>
    </row>
    <row r="9" spans="1:14" x14ac:dyDescent="0.25">
      <c r="A9" s="50"/>
      <c r="B9" s="56"/>
    </row>
    <row r="10" spans="1:14" ht="15" customHeight="1" x14ac:dyDescent="0.25">
      <c r="A10" s="52" t="s">
        <v>137</v>
      </c>
      <c r="B10" s="5"/>
    </row>
    <row r="11" spans="1:14" ht="15" customHeight="1" x14ac:dyDescent="0.25">
      <c r="A11" s="54" t="s">
        <v>139</v>
      </c>
      <c r="B11" s="57">
        <f>B2*(B5/100)</f>
        <v>1000000000</v>
      </c>
    </row>
    <row r="12" spans="1:14" ht="15" customHeight="1" x14ac:dyDescent="0.25">
      <c r="A12" s="54" t="s">
        <v>142</v>
      </c>
      <c r="B12" s="7">
        <f>B3*(B6/100)</f>
        <v>5000000</v>
      </c>
    </row>
    <row r="13" spans="1:14" ht="15" customHeight="1" x14ac:dyDescent="0.25">
      <c r="A13" s="58" t="s">
        <v>137</v>
      </c>
      <c r="B13" s="7">
        <f>B11+B12</f>
        <v>1005000000</v>
      </c>
    </row>
    <row r="14" spans="1:14" ht="15" customHeight="1" x14ac:dyDescent="0.25">
      <c r="A14" s="59"/>
      <c r="B14" s="17"/>
    </row>
    <row r="15" spans="1:14" x14ac:dyDescent="0.25">
      <c r="A15" s="54" t="s">
        <v>143</v>
      </c>
      <c r="B15" s="126">
        <v>200000000</v>
      </c>
    </row>
    <row r="16" spans="1:14" x14ac:dyDescent="0.25">
      <c r="A16" s="50"/>
      <c r="B16" s="56"/>
    </row>
    <row r="17" spans="1:7" x14ac:dyDescent="0.25">
      <c r="A17" s="54" t="s">
        <v>138</v>
      </c>
      <c r="B17" s="60"/>
      <c r="C17" s="31" t="s">
        <v>154</v>
      </c>
      <c r="D17" s="61" t="s">
        <v>202</v>
      </c>
      <c r="E17" s="61" t="s">
        <v>203</v>
      </c>
      <c r="G17" s="62"/>
    </row>
    <row r="18" spans="1:7" x14ac:dyDescent="0.25">
      <c r="A18" s="63">
        <v>0</v>
      </c>
      <c r="B18" s="57">
        <f>-B13</f>
        <v>-1005000000</v>
      </c>
      <c r="C18" s="7">
        <f>B18/((1+$B$7)^A18)</f>
        <v>-1005000000</v>
      </c>
      <c r="D18" s="64">
        <f>SUM(B$18:B18)</f>
        <v>-1005000000</v>
      </c>
      <c r="E18" s="64">
        <f>SUM(C$18:C18)</f>
        <v>-1005000000</v>
      </c>
    </row>
    <row r="19" spans="1:7" x14ac:dyDescent="0.25">
      <c r="A19" s="65">
        <v>1</v>
      </c>
      <c r="B19" s="57">
        <f>$B$15*1</f>
        <v>200000000</v>
      </c>
      <c r="C19" s="7">
        <f>B19/((1+($B$7/100))^A19)</f>
        <v>181818181.81818181</v>
      </c>
      <c r="D19" s="64">
        <f>SUM(B$18:B19)</f>
        <v>-805000000</v>
      </c>
      <c r="E19" s="64">
        <f>SUM(C$18:C19)</f>
        <v>-823181818.18181825</v>
      </c>
      <c r="G19" s="66"/>
    </row>
    <row r="20" spans="1:7" x14ac:dyDescent="0.25">
      <c r="A20" s="65">
        <v>2</v>
      </c>
      <c r="B20" s="57">
        <f>B19*(1+($B$4/100))</f>
        <v>210000000</v>
      </c>
      <c r="C20" s="7">
        <f t="shared" ref="C20:C28" si="0">B20/((1+($B$7/100))^A20)</f>
        <v>173553719.00826442</v>
      </c>
      <c r="D20" s="64">
        <f>SUM(B$18:B20)</f>
        <v>-595000000</v>
      </c>
      <c r="E20" s="64">
        <f>SUM(C$18:C20)</f>
        <v>-649628099.17355382</v>
      </c>
    </row>
    <row r="21" spans="1:7" x14ac:dyDescent="0.25">
      <c r="A21" s="65">
        <v>3</v>
      </c>
      <c r="B21" s="57">
        <f t="shared" ref="B21:B27" si="1">B20*(1+($B$4/100))</f>
        <v>220500000</v>
      </c>
      <c r="C21" s="7">
        <f t="shared" si="0"/>
        <v>165664913.59879786</v>
      </c>
      <c r="D21" s="64">
        <f>SUM(B$18:B21)</f>
        <v>-374500000</v>
      </c>
      <c r="E21" s="64">
        <f>SUM(C$18:C21)</f>
        <v>-483963185.57475597</v>
      </c>
      <c r="G21" s="66"/>
    </row>
    <row r="22" spans="1:7" x14ac:dyDescent="0.25">
      <c r="A22" s="65">
        <v>4</v>
      </c>
      <c r="B22" s="57">
        <f t="shared" si="1"/>
        <v>231525000</v>
      </c>
      <c r="C22" s="7">
        <f t="shared" si="0"/>
        <v>158134690.25339794</v>
      </c>
      <c r="D22" s="64">
        <f>SUM(B$18:B22)</f>
        <v>-142975000</v>
      </c>
      <c r="E22" s="64">
        <f>SUM(C$18:C22)</f>
        <v>-325828495.32135803</v>
      </c>
    </row>
    <row r="23" spans="1:7" x14ac:dyDescent="0.25">
      <c r="A23" s="65">
        <v>5</v>
      </c>
      <c r="B23" s="57">
        <f t="shared" si="1"/>
        <v>243101250</v>
      </c>
      <c r="C23" s="7">
        <f t="shared" si="0"/>
        <v>150946749.78733438</v>
      </c>
      <c r="D23" s="64">
        <f>SUM(B$18:B23)</f>
        <v>100126250</v>
      </c>
      <c r="E23" s="64">
        <f>SUM(C$18:C23)</f>
        <v>-174881745.53402364</v>
      </c>
    </row>
    <row r="24" spans="1:7" x14ac:dyDescent="0.25">
      <c r="A24" s="65">
        <v>6</v>
      </c>
      <c r="B24" s="57">
        <f t="shared" si="1"/>
        <v>255256312.5</v>
      </c>
      <c r="C24" s="7">
        <f t="shared" si="0"/>
        <v>144085533.8879101</v>
      </c>
      <c r="D24" s="64">
        <f>SUM(B$18:B24)</f>
        <v>355382562.5</v>
      </c>
      <c r="E24" s="64">
        <f>SUM(C$18:C24)</f>
        <v>-30796211.646113545</v>
      </c>
    </row>
    <row r="25" spans="1:7" x14ac:dyDescent="0.25">
      <c r="A25" s="65">
        <v>7</v>
      </c>
      <c r="B25" s="57">
        <f t="shared" si="1"/>
        <v>268019128.125</v>
      </c>
      <c r="C25" s="7">
        <f t="shared" si="0"/>
        <v>137536191.4384596</v>
      </c>
      <c r="D25" s="64">
        <f>SUM(B$18:B25)</f>
        <v>623401690.625</v>
      </c>
      <c r="E25" s="64">
        <f>SUM(C$18:C25)</f>
        <v>106739979.79234606</v>
      </c>
    </row>
    <row r="26" spans="1:7" x14ac:dyDescent="0.25">
      <c r="A26" s="65">
        <v>8</v>
      </c>
      <c r="B26" s="57">
        <f t="shared" si="1"/>
        <v>281420084.53125</v>
      </c>
      <c r="C26" s="7">
        <f t="shared" si="0"/>
        <v>131284546.3730751</v>
      </c>
      <c r="D26" s="64">
        <f>SUM(B$18:B26)</f>
        <v>904821775.15625</v>
      </c>
      <c r="E26" s="64">
        <f>SUM(C$18:C26)</f>
        <v>238024526.16542116</v>
      </c>
    </row>
    <row r="27" spans="1:7" x14ac:dyDescent="0.25">
      <c r="A27" s="65">
        <v>9</v>
      </c>
      <c r="B27" s="57">
        <f t="shared" si="1"/>
        <v>295491088.7578125</v>
      </c>
      <c r="C27" s="7">
        <f t="shared" si="0"/>
        <v>125317066.99248075</v>
      </c>
      <c r="D27" s="64">
        <f>SUM(B$18:B27)</f>
        <v>1200312863.9140625</v>
      </c>
      <c r="E27" s="64">
        <f>SUM(C$18:C27)</f>
        <v>363341593.15790188</v>
      </c>
    </row>
    <row r="28" spans="1:7" x14ac:dyDescent="0.25">
      <c r="A28" s="65">
        <v>10</v>
      </c>
      <c r="B28" s="57">
        <f>B27*(1+($B$4/100))+B12</f>
        <v>315265643.19570315</v>
      </c>
      <c r="C28" s="7">
        <f t="shared" si="0"/>
        <v>121548553.12178838</v>
      </c>
      <c r="D28" s="64">
        <f>SUM(B$18:B28)</f>
        <v>1515578507.1097655</v>
      </c>
      <c r="E28" s="64">
        <f>SUM(C$18:C28)</f>
        <v>484890146.27969027</v>
      </c>
    </row>
    <row r="29" spans="1:7" x14ac:dyDescent="0.25">
      <c r="A29" s="67"/>
      <c r="B29" s="68"/>
    </row>
    <row r="30" spans="1:7" x14ac:dyDescent="0.25">
      <c r="A30" s="65" t="s">
        <v>204</v>
      </c>
      <c r="B30" s="69">
        <f>COUNTIF(D19:D28,"&lt;" &amp;0)+ABS(INDEX(D18:D28,COUNTIF(D18:D28,"&lt;" &amp;0))/INDEX(B18:B28,COUNTIF(D18:D28,"&lt;" &amp;0)+1))</f>
        <v>4.5881294316668466</v>
      </c>
    </row>
    <row r="31" spans="1:7" x14ac:dyDescent="0.25">
      <c r="A31" s="65" t="s">
        <v>206</v>
      </c>
      <c r="B31" s="69">
        <f>COUNTIF(E19:E28,"&lt;" &amp;0)+ABS(INDEX(E18:E28,COUNTIF(E18:E28,"&lt;" &amp;0))/INDEX(C18:C28,COUNTIF(E18:E28,"&lt;" &amp;0)+1))</f>
        <v>6.2239135119565479</v>
      </c>
    </row>
    <row r="32" spans="1:7" x14ac:dyDescent="0.25">
      <c r="A32" s="65" t="s">
        <v>144</v>
      </c>
      <c r="B32" s="70">
        <f>B18+NPV(B7/100,B19:B28)</f>
        <v>484890146.27969027</v>
      </c>
      <c r="D32" s="71"/>
    </row>
    <row r="33" spans="1:4" x14ac:dyDescent="0.25">
      <c r="A33" s="65" t="s">
        <v>145</v>
      </c>
      <c r="B33" s="72">
        <f>IRR(B18:B28)</f>
        <v>0.19415229790715793</v>
      </c>
      <c r="C33" s="14"/>
      <c r="D33" s="71"/>
    </row>
    <row r="34" spans="1:4" x14ac:dyDescent="0.25">
      <c r="A34" s="65" t="s">
        <v>146</v>
      </c>
      <c r="B34" s="72">
        <f>MIRR(B18:B28,B7/100,B8/100)</f>
        <v>0.14417249581293823</v>
      </c>
    </row>
    <row r="35" spans="1:4" x14ac:dyDescent="0.25">
      <c r="A35" s="65" t="s">
        <v>153</v>
      </c>
      <c r="B35" s="73">
        <f>C18</f>
        <v>-1005000000</v>
      </c>
    </row>
    <row r="36" spans="1:4" x14ac:dyDescent="0.25">
      <c r="A36" s="65" t="s">
        <v>155</v>
      </c>
      <c r="B36" s="73">
        <f>SUM(C19:C28)</f>
        <v>1489890146.2796903</v>
      </c>
      <c r="C36" s="74"/>
    </row>
    <row r="37" spans="1:4" x14ac:dyDescent="0.25">
      <c r="A37" s="54" t="s">
        <v>156</v>
      </c>
      <c r="B37" s="75">
        <f>B36/(ABS(B35))</f>
        <v>1.4824777574922292</v>
      </c>
      <c r="C37" s="74"/>
    </row>
    <row r="38" spans="1:4" x14ac:dyDescent="0.25">
      <c r="A38" s="50"/>
      <c r="B38" s="56"/>
    </row>
    <row r="39" spans="1:4" x14ac:dyDescent="0.25">
      <c r="A39" s="50"/>
      <c r="B39" s="56"/>
    </row>
    <row r="40" spans="1:4" x14ac:dyDescent="0.25">
      <c r="A40" s="50"/>
      <c r="B40" s="56"/>
    </row>
    <row r="41" spans="1:4" x14ac:dyDescent="0.25">
      <c r="A41" s="50"/>
      <c r="B41" s="56"/>
    </row>
    <row r="42" spans="1:4" x14ac:dyDescent="0.25">
      <c r="A42" s="50"/>
      <c r="B42" s="56"/>
    </row>
    <row r="43" spans="1:4" x14ac:dyDescent="0.25">
      <c r="A43" s="50"/>
      <c r="B43" s="56"/>
    </row>
    <row r="44" spans="1:4" x14ac:dyDescent="0.25">
      <c r="A44" s="50"/>
      <c r="B44" s="56"/>
    </row>
    <row r="45" spans="1:4" x14ac:dyDescent="0.25">
      <c r="A45" s="50"/>
      <c r="B45" s="56"/>
    </row>
    <row r="46" spans="1:4" x14ac:dyDescent="0.25">
      <c r="A46" s="50"/>
      <c r="B46" s="56"/>
    </row>
    <row r="47" spans="1:4" x14ac:dyDescent="0.25">
      <c r="A47" s="50"/>
      <c r="B47" s="56"/>
    </row>
    <row r="48" spans="1:4" x14ac:dyDescent="0.25">
      <c r="A48" s="50"/>
      <c r="B48" s="56"/>
    </row>
    <row r="49" spans="1:2" x14ac:dyDescent="0.25">
      <c r="A49" s="50"/>
      <c r="B49" s="56"/>
    </row>
    <row r="50" spans="1:2" x14ac:dyDescent="0.25">
      <c r="A50" s="50"/>
      <c r="B50" s="56"/>
    </row>
    <row r="51" spans="1:2" x14ac:dyDescent="0.25">
      <c r="A51" s="50"/>
      <c r="B51" s="56"/>
    </row>
    <row r="52" spans="1:2" x14ac:dyDescent="0.25">
      <c r="A52" s="50"/>
      <c r="B52" s="56"/>
    </row>
    <row r="53" spans="1:2" x14ac:dyDescent="0.25">
      <c r="A53" s="50"/>
      <c r="B53" s="56"/>
    </row>
    <row r="54" spans="1:2" x14ac:dyDescent="0.25">
      <c r="A54" s="50"/>
      <c r="B54" s="56"/>
    </row>
    <row r="55" spans="1:2" x14ac:dyDescent="0.25">
      <c r="A55" s="50"/>
      <c r="B55" s="56"/>
    </row>
    <row r="56" spans="1:2" x14ac:dyDescent="0.25">
      <c r="A56" s="50"/>
      <c r="B56" s="56"/>
    </row>
    <row r="57" spans="1:2" x14ac:dyDescent="0.25">
      <c r="A57" s="50"/>
      <c r="B57" s="56"/>
    </row>
    <row r="58" spans="1:2" x14ac:dyDescent="0.25">
      <c r="A58" s="50"/>
      <c r="B58" s="56"/>
    </row>
    <row r="59" spans="1:2" x14ac:dyDescent="0.25">
      <c r="A59" s="50"/>
      <c r="B59" s="56"/>
    </row>
    <row r="60" spans="1:2" x14ac:dyDescent="0.25">
      <c r="A60" s="50"/>
      <c r="B60" s="56"/>
    </row>
    <row r="61" spans="1:2" x14ac:dyDescent="0.25">
      <c r="A61" s="50"/>
      <c r="B61" s="56"/>
    </row>
    <row r="62" spans="1:2" x14ac:dyDescent="0.25">
      <c r="A62" s="50"/>
      <c r="B62" s="56"/>
    </row>
    <row r="63" spans="1:2" x14ac:dyDescent="0.25">
      <c r="A63" s="50"/>
      <c r="B63" s="56"/>
    </row>
    <row r="64" spans="1:2" x14ac:dyDescent="0.25">
      <c r="A64" s="50"/>
      <c r="B64" s="56"/>
    </row>
    <row r="65" spans="1:2" x14ac:dyDescent="0.25">
      <c r="A65" s="50"/>
      <c r="B65" s="56"/>
    </row>
    <row r="66" spans="1:2" x14ac:dyDescent="0.25">
      <c r="A66" s="50"/>
      <c r="B66" s="56"/>
    </row>
    <row r="67" spans="1:2" x14ac:dyDescent="0.25">
      <c r="A67" s="50"/>
      <c r="B67" s="56"/>
    </row>
    <row r="68" spans="1:2" x14ac:dyDescent="0.25">
      <c r="A68" s="50"/>
      <c r="B68" s="56"/>
    </row>
    <row r="69" spans="1:2" x14ac:dyDescent="0.25">
      <c r="A69" s="50"/>
      <c r="B69" s="56"/>
    </row>
    <row r="70" spans="1:2" x14ac:dyDescent="0.25">
      <c r="A70" s="50"/>
      <c r="B70" s="56"/>
    </row>
    <row r="71" spans="1:2" x14ac:dyDescent="0.25">
      <c r="A71" s="50"/>
      <c r="B71" s="56"/>
    </row>
    <row r="72" spans="1:2" x14ac:dyDescent="0.25">
      <c r="A72" s="50"/>
      <c r="B72" s="56"/>
    </row>
    <row r="73" spans="1:2" x14ac:dyDescent="0.25">
      <c r="A73" s="50"/>
      <c r="B73" s="56"/>
    </row>
    <row r="74" spans="1:2" x14ac:dyDescent="0.25">
      <c r="A74" s="50"/>
      <c r="B74" s="56"/>
    </row>
    <row r="75" spans="1:2" x14ac:dyDescent="0.25">
      <c r="A75" s="50"/>
      <c r="B75" s="56"/>
    </row>
    <row r="76" spans="1:2" x14ac:dyDescent="0.25">
      <c r="A76" s="50"/>
      <c r="B76" s="56"/>
    </row>
  </sheetData>
  <sheetProtection password="CC8E" sheet="1" objects="1" scenarios="1" selectLockedCells="1"/>
  <sortState ref="A1:B60">
    <sortCondition ref="A1:A60"/>
  </sortState>
  <dataValidations count="1">
    <dataValidation type="decimal" errorStyle="warning" allowBlank="1" showInputMessage="1" showErrorMessage="1" errorTitle="Warning: Wrong Format" error="Did you enter correct value? Enter value in numbers." sqref="B2:B8 B15">
      <formula1>0</formula1>
      <formula2>10000000000000</formula2>
    </dataValidation>
  </dataValidations>
  <pageMargins left="0.7" right="0.7" top="0.75" bottom="0.75" header="0.3" footer="0.3"/>
  <ignoredErrors>
    <ignoredError sqref="C19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"/>
  <sheetViews>
    <sheetView workbookViewId="0"/>
  </sheetViews>
  <sheetFormatPr defaultRowHeight="15" x14ac:dyDescent="0.25"/>
  <cols>
    <col min="1" max="1" width="19.140625" style="4" bestFit="1" customWidth="1"/>
    <col min="2" max="2" width="18" style="4" bestFit="1" customWidth="1"/>
    <col min="3" max="3" width="19" style="4" bestFit="1" customWidth="1"/>
    <col min="4" max="4" width="19.5703125" style="4" bestFit="1" customWidth="1"/>
    <col min="5" max="5" width="19" style="4" bestFit="1" customWidth="1"/>
    <col min="6" max="6" width="9.140625" style="4"/>
    <col min="7" max="7" width="19.140625" style="34" bestFit="1" customWidth="1"/>
    <col min="8" max="8" width="16.28515625" style="4" bestFit="1" customWidth="1"/>
    <col min="9" max="9" width="18.7109375" style="4" bestFit="1" customWidth="1"/>
    <col min="10" max="10" width="19.5703125" style="4" bestFit="1" customWidth="1"/>
    <col min="11" max="11" width="19.7109375" style="4" bestFit="1" customWidth="1"/>
    <col min="12" max="16384" width="9.140625" style="4"/>
  </cols>
  <sheetData>
    <row r="1" spans="1:11" x14ac:dyDescent="0.25">
      <c r="C1" s="76" t="s">
        <v>263</v>
      </c>
      <c r="D1" s="76"/>
      <c r="E1" s="76"/>
      <c r="G1" s="76" t="s">
        <v>264</v>
      </c>
      <c r="H1" s="76"/>
      <c r="I1" s="76"/>
      <c r="J1" s="76"/>
      <c r="K1" s="76"/>
    </row>
    <row r="2" spans="1:11" s="42" customFormat="1" x14ac:dyDescent="0.25">
      <c r="A2" s="36" t="s">
        <v>147</v>
      </c>
      <c r="B2" s="36" t="s">
        <v>150</v>
      </c>
      <c r="C2" s="36" t="s">
        <v>272</v>
      </c>
      <c r="D2" s="36" t="s">
        <v>148</v>
      </c>
      <c r="E2" s="36" t="s">
        <v>149</v>
      </c>
      <c r="G2" s="36" t="s">
        <v>147</v>
      </c>
      <c r="H2" s="36" t="s">
        <v>150</v>
      </c>
      <c r="I2" s="36" t="s">
        <v>272</v>
      </c>
      <c r="J2" s="36" t="s">
        <v>148</v>
      </c>
      <c r="K2" s="36" t="s">
        <v>149</v>
      </c>
    </row>
    <row r="3" spans="1:11" x14ac:dyDescent="0.25">
      <c r="A3" s="31">
        <v>0</v>
      </c>
      <c r="B3" s="31"/>
      <c r="C3" s="31"/>
      <c r="D3" s="31"/>
      <c r="E3" s="33">
        <f>ABS('Expansion Project Valuation'!B18)</f>
        <v>1005000000</v>
      </c>
      <c r="G3" s="31">
        <v>0</v>
      </c>
      <c r="H3" s="31"/>
      <c r="I3" s="31"/>
      <c r="J3" s="31"/>
      <c r="K3" s="33">
        <f>ABS('Expansion Project Valuation'!B18)</f>
        <v>1005000000</v>
      </c>
    </row>
    <row r="4" spans="1:11" x14ac:dyDescent="0.25">
      <c r="A4" s="31">
        <v>1</v>
      </c>
      <c r="B4" s="33">
        <f>ABS($B$16)</f>
        <v>154236417.39236298</v>
      </c>
      <c r="C4" s="77">
        <f>E3*'Price Multiples'!$B$41</f>
        <v>86993312.10191083</v>
      </c>
      <c r="D4" s="77">
        <f>B4-C4</f>
        <v>67243105.290452152</v>
      </c>
      <c r="E4" s="77">
        <f>E3-D4</f>
        <v>937756894.70954788</v>
      </c>
      <c r="G4" s="31">
        <v>1</v>
      </c>
      <c r="H4" s="33">
        <f t="shared" ref="H4:H35" si="0">ABS($H$126)</f>
        <v>12544595.81145064</v>
      </c>
      <c r="I4" s="77">
        <f>K3*('Price Multiples'!$B$41/12)</f>
        <v>7249442.6751592355</v>
      </c>
      <c r="J4" s="77">
        <f>H4-I4</f>
        <v>5295153.1362914043</v>
      </c>
      <c r="K4" s="77">
        <f>K3-J4</f>
        <v>999704846.86370862</v>
      </c>
    </row>
    <row r="5" spans="1:11" x14ac:dyDescent="0.25">
      <c r="A5" s="31">
        <v>2</v>
      </c>
      <c r="B5" s="33">
        <f t="shared" ref="B5:B13" si="1">ABS($B$16)</f>
        <v>154236417.39236298</v>
      </c>
      <c r="C5" s="77">
        <f>E4*'Price Multiples'!$B$41</f>
        <v>81172714.6439666</v>
      </c>
      <c r="D5" s="77">
        <f t="shared" ref="D5:D13" si="2">B5-C5</f>
        <v>73063702.748396382</v>
      </c>
      <c r="E5" s="77">
        <f t="shared" ref="E5:E13" si="3">E4-D5</f>
        <v>864693191.96115148</v>
      </c>
      <c r="G5" s="31">
        <v>2</v>
      </c>
      <c r="H5" s="33">
        <f t="shared" si="0"/>
        <v>12544595.81145064</v>
      </c>
      <c r="I5" s="77">
        <f>K4*('Price Multiples'!$B$41/12)</f>
        <v>7211246.7456888538</v>
      </c>
      <c r="J5" s="77">
        <f t="shared" ref="J5:J68" si="4">H5-I5</f>
        <v>5333349.065761786</v>
      </c>
      <c r="K5" s="77">
        <f t="shared" ref="K5:K68" si="5">K4-J5</f>
        <v>994371497.79794681</v>
      </c>
    </row>
    <row r="6" spans="1:11" x14ac:dyDescent="0.25">
      <c r="A6" s="31">
        <v>3</v>
      </c>
      <c r="B6" s="33">
        <f t="shared" si="1"/>
        <v>154236417.39236298</v>
      </c>
      <c r="C6" s="77">
        <f>E5*'Price Multiples'!$B$41</f>
        <v>74848283.304153174</v>
      </c>
      <c r="D6" s="77">
        <f t="shared" si="2"/>
        <v>79388134.088209808</v>
      </c>
      <c r="E6" s="77">
        <f t="shared" si="3"/>
        <v>785305057.87294173</v>
      </c>
      <c r="G6" s="31">
        <v>3</v>
      </c>
      <c r="H6" s="33">
        <f t="shared" si="0"/>
        <v>12544595.81145064</v>
      </c>
      <c r="I6" s="77">
        <f>K5*('Price Multiples'!$B$41/12)</f>
        <v>7172775.2946253167</v>
      </c>
      <c r="J6" s="77">
        <f t="shared" si="4"/>
        <v>5371820.516825323</v>
      </c>
      <c r="K6" s="77">
        <f t="shared" si="5"/>
        <v>988999677.28112149</v>
      </c>
    </row>
    <row r="7" spans="1:11" x14ac:dyDescent="0.25">
      <c r="A7" s="31">
        <v>4</v>
      </c>
      <c r="B7" s="33">
        <f t="shared" si="1"/>
        <v>154236417.39236298</v>
      </c>
      <c r="C7" s="77">
        <f>E6*'Price Multiples'!$B$41</f>
        <v>67976405.964925334</v>
      </c>
      <c r="D7" s="77">
        <f t="shared" si="2"/>
        <v>86260011.427437648</v>
      </c>
      <c r="E7" s="77">
        <f t="shared" si="3"/>
        <v>699045046.44550407</v>
      </c>
      <c r="G7" s="31">
        <v>4</v>
      </c>
      <c r="H7" s="33">
        <f t="shared" si="0"/>
        <v>12544595.81145064</v>
      </c>
      <c r="I7" s="77">
        <f>K6*('Price Multiples'!$B$41/12)</f>
        <v>7134026.3345278352</v>
      </c>
      <c r="J7" s="77">
        <f t="shared" si="4"/>
        <v>5410569.4769228045</v>
      </c>
      <c r="K7" s="77">
        <f t="shared" si="5"/>
        <v>983589107.80419874</v>
      </c>
    </row>
    <row r="8" spans="1:11" x14ac:dyDescent="0.25">
      <c r="A8" s="31">
        <v>5</v>
      </c>
      <c r="B8" s="33">
        <f t="shared" si="1"/>
        <v>154236417.39236298</v>
      </c>
      <c r="C8" s="77">
        <f>E7*'Price Multiples'!$B$41</f>
        <v>60509695.421620384</v>
      </c>
      <c r="D8" s="77">
        <f t="shared" si="2"/>
        <v>93726721.970742598</v>
      </c>
      <c r="E8" s="77">
        <f t="shared" si="3"/>
        <v>605318324.47476149</v>
      </c>
      <c r="G8" s="31">
        <v>5</v>
      </c>
      <c r="H8" s="33">
        <f t="shared" si="0"/>
        <v>12544595.81145064</v>
      </c>
      <c r="I8" s="77">
        <f>K7*('Price Multiples'!$B$41/12)</f>
        <v>7094997.8636194589</v>
      </c>
      <c r="J8" s="77">
        <f t="shared" si="4"/>
        <v>5449597.9478311809</v>
      </c>
      <c r="K8" s="77">
        <f t="shared" si="5"/>
        <v>978139509.85636759</v>
      </c>
    </row>
    <row r="9" spans="1:11" x14ac:dyDescent="0.25">
      <c r="A9" s="31">
        <v>6</v>
      </c>
      <c r="B9" s="33">
        <f t="shared" si="1"/>
        <v>154236417.39236298</v>
      </c>
      <c r="C9" s="77">
        <f>E8*'Price Multiples'!$B$41</f>
        <v>52396662.608993687</v>
      </c>
      <c r="D9" s="77">
        <f t="shared" si="2"/>
        <v>101839754.7833693</v>
      </c>
      <c r="E9" s="77">
        <f t="shared" si="3"/>
        <v>503478569.69139218</v>
      </c>
      <c r="G9" s="31">
        <v>6</v>
      </c>
      <c r="H9" s="33">
        <f t="shared" si="0"/>
        <v>12544595.81145064</v>
      </c>
      <c r="I9" s="77">
        <f>K8*('Price Multiples'!$B$41/12)</f>
        <v>7055687.8656836702</v>
      </c>
      <c r="J9" s="77">
        <f t="shared" si="4"/>
        <v>5488907.9457669696</v>
      </c>
      <c r="K9" s="77">
        <f t="shared" si="5"/>
        <v>972650601.91060066</v>
      </c>
    </row>
    <row r="10" spans="1:11" x14ac:dyDescent="0.25">
      <c r="A10" s="31">
        <v>7</v>
      </c>
      <c r="B10" s="33">
        <f t="shared" si="1"/>
        <v>154236417.39236298</v>
      </c>
      <c r="C10" s="77">
        <f>E9*'Price Multiples'!$B$41</f>
        <v>43581361.542076558</v>
      </c>
      <c r="D10" s="77">
        <f t="shared" si="2"/>
        <v>110655055.85028642</v>
      </c>
      <c r="E10" s="77">
        <f t="shared" si="3"/>
        <v>392823513.84110576</v>
      </c>
      <c r="G10" s="31">
        <v>7</v>
      </c>
      <c r="H10" s="33">
        <f t="shared" si="0"/>
        <v>12544595.81145064</v>
      </c>
      <c r="I10" s="77">
        <f>K9*('Price Multiples'!$B$41/12)</f>
        <v>7016094.3099602247</v>
      </c>
      <c r="J10" s="77">
        <f t="shared" si="4"/>
        <v>5528501.5014904151</v>
      </c>
      <c r="K10" s="77">
        <f t="shared" si="5"/>
        <v>967122100.40911019</v>
      </c>
    </row>
    <row r="11" spans="1:11" x14ac:dyDescent="0.25">
      <c r="A11" s="31">
        <v>8</v>
      </c>
      <c r="B11" s="33">
        <f t="shared" si="1"/>
        <v>154236417.39236298</v>
      </c>
      <c r="C11" s="77">
        <f>E10*'Price Multiples'!$B$41</f>
        <v>34003003.52293393</v>
      </c>
      <c r="D11" s="77">
        <f t="shared" si="2"/>
        <v>120233413.86942905</v>
      </c>
      <c r="E11" s="77">
        <f t="shared" si="3"/>
        <v>272590099.97167671</v>
      </c>
      <c r="G11" s="31">
        <v>8</v>
      </c>
      <c r="H11" s="33">
        <f t="shared" si="0"/>
        <v>12544595.81145064</v>
      </c>
      <c r="I11" s="77">
        <f>K10*('Price Multiples'!$B$41/12)</f>
        <v>6976215.1510402374</v>
      </c>
      <c r="J11" s="77">
        <f t="shared" si="4"/>
        <v>5568380.6604104023</v>
      </c>
      <c r="K11" s="77">
        <f t="shared" si="5"/>
        <v>961553719.74869978</v>
      </c>
    </row>
    <row r="12" spans="1:11" x14ac:dyDescent="0.25">
      <c r="A12" s="31">
        <v>9</v>
      </c>
      <c r="B12" s="33">
        <f t="shared" si="1"/>
        <v>154236417.39236298</v>
      </c>
      <c r="C12" s="77">
        <f>E11*'Price Multiples'!$B$41</f>
        <v>23595537.952962335</v>
      </c>
      <c r="D12" s="77">
        <f t="shared" si="2"/>
        <v>130640879.43940064</v>
      </c>
      <c r="E12" s="77">
        <f t="shared" si="3"/>
        <v>141949220.53227606</v>
      </c>
      <c r="G12" s="31">
        <v>9</v>
      </c>
      <c r="H12" s="33">
        <f t="shared" si="0"/>
        <v>12544595.81145064</v>
      </c>
      <c r="I12" s="77">
        <f>K11*('Price Multiples'!$B$41/12)</f>
        <v>6936048.3287605252</v>
      </c>
      <c r="J12" s="77">
        <f t="shared" si="4"/>
        <v>5608547.4826901145</v>
      </c>
      <c r="K12" s="77">
        <f t="shared" si="5"/>
        <v>955945172.26600969</v>
      </c>
    </row>
    <row r="13" spans="1:11" x14ac:dyDescent="0.25">
      <c r="A13" s="31">
        <v>10</v>
      </c>
      <c r="B13" s="33">
        <f t="shared" si="1"/>
        <v>154236417.39236298</v>
      </c>
      <c r="C13" s="77">
        <f>E12*'Price Multiples'!$B$41</f>
        <v>12287196.860086827</v>
      </c>
      <c r="D13" s="77">
        <f t="shared" si="2"/>
        <v>141949220.53227615</v>
      </c>
      <c r="E13" s="78">
        <f t="shared" si="3"/>
        <v>0</v>
      </c>
      <c r="G13" s="31">
        <v>10</v>
      </c>
      <c r="H13" s="33">
        <f t="shared" si="0"/>
        <v>12544595.81145064</v>
      </c>
      <c r="I13" s="77">
        <f>K12*('Price Multiples'!$B$41/12)</f>
        <v>6895591.7680971716</v>
      </c>
      <c r="J13" s="77">
        <f t="shared" si="4"/>
        <v>5649004.0433534682</v>
      </c>
      <c r="K13" s="78">
        <f t="shared" si="5"/>
        <v>950296168.22265625</v>
      </c>
    </row>
    <row r="14" spans="1:11" x14ac:dyDescent="0.25">
      <c r="A14" s="31" t="s">
        <v>151</v>
      </c>
      <c r="B14" s="78">
        <f>SUM(B4:B8)</f>
        <v>771182086.96181488</v>
      </c>
      <c r="C14" s="78">
        <f>SUM(C4:C8)</f>
        <v>371500411.43657631</v>
      </c>
      <c r="D14" s="78">
        <f>SUM(D4:D8)</f>
        <v>399681675.52523857</v>
      </c>
      <c r="E14" s="78"/>
      <c r="G14" s="31">
        <v>11</v>
      </c>
      <c r="H14" s="33">
        <f t="shared" si="0"/>
        <v>12544595.81145064</v>
      </c>
      <c r="I14" s="77">
        <f>K13*('Price Multiples'!$B$41/12)</f>
        <v>6854843.3790583322</v>
      </c>
      <c r="J14" s="77">
        <f t="shared" si="4"/>
        <v>5689752.4323923076</v>
      </c>
      <c r="K14" s="78">
        <f t="shared" si="5"/>
        <v>944606415.79026389</v>
      </c>
    </row>
    <row r="15" spans="1:11" x14ac:dyDescent="0.25">
      <c r="G15" s="31">
        <v>12</v>
      </c>
      <c r="H15" s="33">
        <f t="shared" si="0"/>
        <v>12544595.81145064</v>
      </c>
      <c r="I15" s="77">
        <f>K14*('Price Multiples'!$B$41/12)</f>
        <v>6813801.0565762669</v>
      </c>
      <c r="J15" s="77">
        <f t="shared" si="4"/>
        <v>5730794.7548743729</v>
      </c>
      <c r="K15" s="78">
        <f t="shared" si="5"/>
        <v>938875621.03538954</v>
      </c>
    </row>
    <row r="16" spans="1:11" x14ac:dyDescent="0.25">
      <c r="A16" s="23" t="s">
        <v>152</v>
      </c>
      <c r="B16" s="79">
        <f>PMT('Price Multiples'!B41,10,E3)</f>
        <v>-154236417.39236298</v>
      </c>
      <c r="C16" s="79"/>
      <c r="G16" s="31">
        <v>13</v>
      </c>
      <c r="H16" s="33">
        <f t="shared" si="0"/>
        <v>12544595.81145064</v>
      </c>
      <c r="I16" s="77">
        <f>K15*('Price Multiples'!$B$41/12)</f>
        <v>6772462.6803985899</v>
      </c>
      <c r="J16" s="77">
        <f t="shared" si="4"/>
        <v>5772133.1310520498</v>
      </c>
      <c r="K16" s="78">
        <f t="shared" si="5"/>
        <v>933103487.90433753</v>
      </c>
    </row>
    <row r="17" spans="7:11" x14ac:dyDescent="0.25">
      <c r="G17" s="31">
        <v>14</v>
      </c>
      <c r="H17" s="33">
        <f t="shared" si="0"/>
        <v>12544595.81145064</v>
      </c>
      <c r="I17" s="77">
        <f>K16*('Price Multiples'!$B$41/12)</f>
        <v>6730826.11497874</v>
      </c>
      <c r="J17" s="77">
        <f t="shared" si="4"/>
        <v>5813769.6964718997</v>
      </c>
      <c r="K17" s="78">
        <f t="shared" si="5"/>
        <v>927289718.2078656</v>
      </c>
    </row>
    <row r="18" spans="7:11" x14ac:dyDescent="0.25">
      <c r="G18" s="31">
        <v>15</v>
      </c>
      <c r="H18" s="33">
        <f t="shared" si="0"/>
        <v>12544595.81145064</v>
      </c>
      <c r="I18" s="77">
        <f>K17*('Price Multiples'!$B$41/12)</f>
        <v>6688889.2093656547</v>
      </c>
      <c r="J18" s="77">
        <f t="shared" si="4"/>
        <v>5855706.602084985</v>
      </c>
      <c r="K18" s="78">
        <f t="shared" si="5"/>
        <v>921434011.6057806</v>
      </c>
    </row>
    <row r="19" spans="7:11" x14ac:dyDescent="0.25">
      <c r="G19" s="31">
        <v>16</v>
      </c>
      <c r="H19" s="33">
        <f t="shared" si="0"/>
        <v>12544595.81145064</v>
      </c>
      <c r="I19" s="77">
        <f>K18*('Price Multiples'!$B$41/12)</f>
        <v>6646649.7970926529</v>
      </c>
      <c r="J19" s="77">
        <f t="shared" si="4"/>
        <v>5897946.0143579869</v>
      </c>
      <c r="K19" s="78">
        <f t="shared" si="5"/>
        <v>915536065.59142256</v>
      </c>
    </row>
    <row r="20" spans="7:11" x14ac:dyDescent="0.25">
      <c r="G20" s="31">
        <v>17</v>
      </c>
      <c r="H20" s="33">
        <f t="shared" si="0"/>
        <v>12544595.81145064</v>
      </c>
      <c r="I20" s="77">
        <f>K19*('Price Multiples'!$B$41/12)</f>
        <v>6604105.6960655162</v>
      </c>
      <c r="J20" s="77">
        <f t="shared" si="4"/>
        <v>5940490.1153851235</v>
      </c>
      <c r="K20" s="78">
        <f t="shared" si="5"/>
        <v>909595575.47603738</v>
      </c>
    </row>
    <row r="21" spans="7:11" x14ac:dyDescent="0.25">
      <c r="G21" s="31">
        <v>18</v>
      </c>
      <c r="H21" s="33">
        <f t="shared" si="0"/>
        <v>12544595.81145064</v>
      </c>
      <c r="I21" s="77">
        <f>K20*('Price Multiples'!$B$41/12)</f>
        <v>6561254.7084497605</v>
      </c>
      <c r="J21" s="77">
        <f t="shared" si="4"/>
        <v>5983341.1030008793</v>
      </c>
      <c r="K21" s="78">
        <f t="shared" si="5"/>
        <v>903612234.3730365</v>
      </c>
    </row>
    <row r="22" spans="7:11" x14ac:dyDescent="0.25">
      <c r="G22" s="31">
        <v>19</v>
      </c>
      <c r="H22" s="33">
        <f t="shared" si="0"/>
        <v>12544595.81145064</v>
      </c>
      <c r="I22" s="77">
        <f>K21*('Price Multiples'!$B$41/12)</f>
        <v>6518094.6205570949</v>
      </c>
      <c r="J22" s="77">
        <f t="shared" si="4"/>
        <v>6026501.1908935448</v>
      </c>
      <c r="K22" s="78">
        <f t="shared" si="5"/>
        <v>897585733.18214297</v>
      </c>
    </row>
    <row r="23" spans="7:11" x14ac:dyDescent="0.25">
      <c r="G23" s="31">
        <v>20</v>
      </c>
      <c r="H23" s="33">
        <f t="shared" si="0"/>
        <v>12544595.81145064</v>
      </c>
      <c r="I23" s="77">
        <f>K22*('Price Multiples'!$B$41/12)</f>
        <v>6474623.2027310636</v>
      </c>
      <c r="J23" s="77">
        <f t="shared" si="4"/>
        <v>6069972.6087195762</v>
      </c>
      <c r="K23" s="78">
        <f t="shared" si="5"/>
        <v>891515760.57342339</v>
      </c>
    </row>
    <row r="24" spans="7:11" x14ac:dyDescent="0.25">
      <c r="G24" s="31">
        <v>21</v>
      </c>
      <c r="H24" s="33">
        <f t="shared" si="0"/>
        <v>12544595.81145064</v>
      </c>
      <c r="I24" s="77">
        <f>K23*('Price Multiples'!$B$41/12)</f>
        <v>6430838.20923186</v>
      </c>
      <c r="J24" s="77">
        <f t="shared" si="4"/>
        <v>6113757.6022187797</v>
      </c>
      <c r="K24" s="78">
        <f t="shared" si="5"/>
        <v>885402002.97120464</v>
      </c>
    </row>
    <row r="25" spans="7:11" x14ac:dyDescent="0.25">
      <c r="G25" s="31">
        <v>22</v>
      </c>
      <c r="H25" s="33">
        <f t="shared" si="0"/>
        <v>12544595.81145064</v>
      </c>
      <c r="I25" s="77">
        <f>K24*('Price Multiples'!$B$41/12)</f>
        <v>6386737.3781203134</v>
      </c>
      <c r="J25" s="77">
        <f t="shared" si="4"/>
        <v>6157858.4333303263</v>
      </c>
      <c r="K25" s="78">
        <f t="shared" si="5"/>
        <v>879244144.53787434</v>
      </c>
    </row>
    <row r="26" spans="7:11" x14ac:dyDescent="0.25">
      <c r="G26" s="31">
        <v>23</v>
      </c>
      <c r="H26" s="33">
        <f t="shared" si="0"/>
        <v>12544595.81145064</v>
      </c>
      <c r="I26" s="77">
        <f>K25*('Price Multiples'!$B$41/12)</f>
        <v>6342318.4311410366</v>
      </c>
      <c r="J26" s="77">
        <f t="shared" si="4"/>
        <v>6202277.3803096032</v>
      </c>
      <c r="K26" s="78">
        <f t="shared" si="5"/>
        <v>873041867.15756476</v>
      </c>
    </row>
    <row r="27" spans="7:11" x14ac:dyDescent="0.25">
      <c r="G27" s="31">
        <v>24</v>
      </c>
      <c r="H27" s="33">
        <f t="shared" si="0"/>
        <v>12544595.81145064</v>
      </c>
      <c r="I27" s="77">
        <f>K26*('Price Multiples'!$B$41/12)</f>
        <v>6297579.0736047262</v>
      </c>
      <c r="J27" s="77">
        <f t="shared" si="4"/>
        <v>6247016.7378459135</v>
      </c>
      <c r="K27" s="78">
        <f t="shared" si="5"/>
        <v>866794850.41971886</v>
      </c>
    </row>
    <row r="28" spans="7:11" x14ac:dyDescent="0.25">
      <c r="G28" s="31">
        <v>25</v>
      </c>
      <c r="H28" s="33">
        <f t="shared" si="0"/>
        <v>12544595.81145064</v>
      </c>
      <c r="I28" s="77">
        <f>K27*('Price Multiples'!$B$41/12)</f>
        <v>6252516.9942696281</v>
      </c>
      <c r="J28" s="77">
        <f t="shared" si="4"/>
        <v>6292078.8171810117</v>
      </c>
      <c r="K28" s="78">
        <f t="shared" si="5"/>
        <v>860502771.60253787</v>
      </c>
    </row>
    <row r="29" spans="7:11" x14ac:dyDescent="0.25">
      <c r="G29" s="31">
        <v>26</v>
      </c>
      <c r="H29" s="33">
        <f t="shared" si="0"/>
        <v>12544595.81145064</v>
      </c>
      <c r="I29" s="77">
        <f>K28*('Price Multiples'!$B$41/12)</f>
        <v>6207129.8652221281</v>
      </c>
      <c r="J29" s="77">
        <f t="shared" si="4"/>
        <v>6337465.9462285116</v>
      </c>
      <c r="K29" s="78">
        <f t="shared" si="5"/>
        <v>854165305.65630937</v>
      </c>
    </row>
    <row r="30" spans="7:11" x14ac:dyDescent="0.25">
      <c r="G30" s="31">
        <v>27</v>
      </c>
      <c r="H30" s="33">
        <f t="shared" si="0"/>
        <v>12544595.81145064</v>
      </c>
      <c r="I30" s="77">
        <f>K29*('Price Multiples'!$B$41/12)</f>
        <v>6161415.3417564994</v>
      </c>
      <c r="J30" s="77">
        <f t="shared" si="4"/>
        <v>6383180.4696941404</v>
      </c>
      <c r="K30" s="78">
        <f t="shared" si="5"/>
        <v>847782125.18661523</v>
      </c>
    </row>
    <row r="31" spans="7:11" x14ac:dyDescent="0.25">
      <c r="G31" s="31">
        <v>28</v>
      </c>
      <c r="H31" s="33">
        <f t="shared" si="0"/>
        <v>12544595.81145064</v>
      </c>
      <c r="I31" s="77">
        <f>K30*('Price Multiples'!$B$41/12)</f>
        <v>6115371.0622537695</v>
      </c>
      <c r="J31" s="77">
        <f t="shared" si="4"/>
        <v>6429224.7491968703</v>
      </c>
      <c r="K31" s="78">
        <f t="shared" si="5"/>
        <v>841352900.43741834</v>
      </c>
    </row>
    <row r="32" spans="7:11" x14ac:dyDescent="0.25">
      <c r="G32" s="31">
        <v>29</v>
      </c>
      <c r="H32" s="33">
        <f t="shared" si="0"/>
        <v>12544595.81145064</v>
      </c>
      <c r="I32" s="77">
        <f>K31*('Price Multiples'!$B$41/12)</f>
        <v>6068994.6480597211</v>
      </c>
      <c r="J32" s="77">
        <f t="shared" si="4"/>
        <v>6475601.1633909186</v>
      </c>
      <c r="K32" s="78">
        <f t="shared" si="5"/>
        <v>834877299.27402747</v>
      </c>
    </row>
    <row r="33" spans="7:11" x14ac:dyDescent="0.25">
      <c r="G33" s="31">
        <v>30</v>
      </c>
      <c r="H33" s="33">
        <f t="shared" si="0"/>
        <v>12544595.81145064</v>
      </c>
      <c r="I33" s="77">
        <f>K32*('Price Multiples'!$B$41/12)</f>
        <v>6022283.7033620132</v>
      </c>
      <c r="J33" s="77">
        <f t="shared" si="4"/>
        <v>6522312.1080886265</v>
      </c>
      <c r="K33" s="78">
        <f t="shared" si="5"/>
        <v>828354987.16593885</v>
      </c>
    </row>
    <row r="34" spans="7:11" x14ac:dyDescent="0.25">
      <c r="G34" s="31">
        <v>31</v>
      </c>
      <c r="H34" s="33">
        <f t="shared" si="0"/>
        <v>12544595.81145064</v>
      </c>
      <c r="I34" s="77">
        <f>K33*('Price Multiples'!$B$41/12)</f>
        <v>5975235.8150664056</v>
      </c>
      <c r="J34" s="77">
        <f t="shared" si="4"/>
        <v>6569359.9963842342</v>
      </c>
      <c r="K34" s="78">
        <f t="shared" si="5"/>
        <v>821785627.16955459</v>
      </c>
    </row>
    <row r="35" spans="7:11" x14ac:dyDescent="0.25">
      <c r="G35" s="31">
        <v>32</v>
      </c>
      <c r="H35" s="33">
        <f t="shared" si="0"/>
        <v>12544595.81145064</v>
      </c>
      <c r="I35" s="77">
        <f>K34*('Price Multiples'!$B$41/12)</f>
        <v>5927848.5526721058</v>
      </c>
      <c r="J35" s="77">
        <f t="shared" si="4"/>
        <v>6616747.2587785339</v>
      </c>
      <c r="K35" s="78">
        <f t="shared" si="5"/>
        <v>815168879.91077602</v>
      </c>
    </row>
    <row r="36" spans="7:11" x14ac:dyDescent="0.25">
      <c r="G36" s="31">
        <v>33</v>
      </c>
      <c r="H36" s="33">
        <f t="shared" ref="H36:H67" si="6">ABS($H$126)</f>
        <v>12544595.81145064</v>
      </c>
      <c r="I36" s="77">
        <f>K35*('Price Multiples'!$B$41/12)</f>
        <v>5880119.4681462031</v>
      </c>
      <c r="J36" s="77">
        <f t="shared" si="4"/>
        <v>6664476.3433044367</v>
      </c>
      <c r="K36" s="78">
        <f t="shared" si="5"/>
        <v>808504403.56747162</v>
      </c>
    </row>
    <row r="37" spans="7:11" x14ac:dyDescent="0.25">
      <c r="G37" s="31">
        <v>34</v>
      </c>
      <c r="H37" s="33">
        <f t="shared" si="6"/>
        <v>12544595.81145064</v>
      </c>
      <c r="I37" s="77">
        <f>K36*('Price Multiples'!$B$41/12)</f>
        <v>5832046.0957972081</v>
      </c>
      <c r="J37" s="77">
        <f t="shared" si="4"/>
        <v>6712549.7156534316</v>
      </c>
      <c r="K37" s="78">
        <f t="shared" si="5"/>
        <v>801791853.8518182</v>
      </c>
    </row>
    <row r="38" spans="7:11" x14ac:dyDescent="0.25">
      <c r="G38" s="31">
        <v>35</v>
      </c>
      <c r="H38" s="33">
        <f t="shared" si="6"/>
        <v>12544595.81145064</v>
      </c>
      <c r="I38" s="77">
        <f>K37*('Price Multiples'!$B$41/12)</f>
        <v>5783625.9521476692</v>
      </c>
      <c r="J38" s="77">
        <f t="shared" si="4"/>
        <v>6760969.8593029706</v>
      </c>
      <c r="K38" s="78">
        <f t="shared" si="5"/>
        <v>795030883.99251521</v>
      </c>
    </row>
    <row r="39" spans="7:11" x14ac:dyDescent="0.25">
      <c r="G39" s="31">
        <v>36</v>
      </c>
      <c r="H39" s="33">
        <f t="shared" si="6"/>
        <v>12544595.81145064</v>
      </c>
      <c r="I39" s="77">
        <f>K38*('Price Multiples'!$B$41/12)</f>
        <v>5734856.535805882</v>
      </c>
      <c r="J39" s="77">
        <f t="shared" si="4"/>
        <v>6809739.2756447578</v>
      </c>
      <c r="K39" s="78">
        <f t="shared" si="5"/>
        <v>788221144.71687043</v>
      </c>
    </row>
    <row r="40" spans="7:11" x14ac:dyDescent="0.25">
      <c r="G40" s="31">
        <v>37</v>
      </c>
      <c r="H40" s="33">
        <f t="shared" si="6"/>
        <v>12544595.81145064</v>
      </c>
      <c r="I40" s="77">
        <f>K39*('Price Multiples'!$B$41/12)</f>
        <v>5685735.3273366606</v>
      </c>
      <c r="J40" s="77">
        <f t="shared" si="4"/>
        <v>6858860.4841139792</v>
      </c>
      <c r="K40" s="78">
        <f t="shared" si="5"/>
        <v>781362284.2327565</v>
      </c>
    </row>
    <row r="41" spans="7:11" x14ac:dyDescent="0.25">
      <c r="G41" s="31">
        <v>38</v>
      </c>
      <c r="H41" s="33">
        <f t="shared" si="6"/>
        <v>12544595.81145064</v>
      </c>
      <c r="I41" s="77">
        <f>K40*('Price Multiples'!$B$41/12)</f>
        <v>5636259.7891311897</v>
      </c>
      <c r="J41" s="77">
        <f t="shared" si="4"/>
        <v>6908336.02231945</v>
      </c>
      <c r="K41" s="78">
        <f t="shared" si="5"/>
        <v>774453948.21043706</v>
      </c>
    </row>
    <row r="42" spans="7:11" x14ac:dyDescent="0.25">
      <c r="G42" s="31">
        <v>39</v>
      </c>
      <c r="H42" s="33">
        <f t="shared" si="6"/>
        <v>12544595.81145064</v>
      </c>
      <c r="I42" s="77">
        <f>K41*('Price Multiples'!$B$41/12)</f>
        <v>5586427.3652759232</v>
      </c>
      <c r="J42" s="77">
        <f t="shared" si="4"/>
        <v>6958168.4461747166</v>
      </c>
      <c r="K42" s="78">
        <f t="shared" si="5"/>
        <v>767495779.76426232</v>
      </c>
    </row>
    <row r="43" spans="7:11" x14ac:dyDescent="0.25">
      <c r="G43" s="31">
        <v>40</v>
      </c>
      <c r="H43" s="33">
        <f t="shared" si="6"/>
        <v>12544595.81145064</v>
      </c>
      <c r="I43" s="77">
        <f>K42*('Price Multiples'!$B$41/12)</f>
        <v>5536235.4814205542</v>
      </c>
      <c r="J43" s="77">
        <f t="shared" si="4"/>
        <v>7008360.3300300855</v>
      </c>
      <c r="K43" s="78">
        <f t="shared" si="5"/>
        <v>760487419.43423223</v>
      </c>
    </row>
    <row r="44" spans="7:11" x14ac:dyDescent="0.25">
      <c r="G44" s="31">
        <v>41</v>
      </c>
      <c r="H44" s="33">
        <f t="shared" si="6"/>
        <v>12544595.81145064</v>
      </c>
      <c r="I44" s="77">
        <f>K43*('Price Multiples'!$B$41/12)</f>
        <v>5485681.5446450189</v>
      </c>
      <c r="J44" s="77">
        <f t="shared" si="4"/>
        <v>7058914.2668056209</v>
      </c>
      <c r="K44" s="78">
        <f t="shared" si="5"/>
        <v>753428505.16742659</v>
      </c>
    </row>
    <row r="45" spans="7:11" x14ac:dyDescent="0.25">
      <c r="G45" s="31">
        <v>42</v>
      </c>
      <c r="H45" s="33">
        <f t="shared" si="6"/>
        <v>12544595.81145064</v>
      </c>
      <c r="I45" s="77">
        <f>K44*('Price Multiples'!$B$41/12)</f>
        <v>5434762.9433255456</v>
      </c>
      <c r="J45" s="77">
        <f t="shared" si="4"/>
        <v>7109832.8681250941</v>
      </c>
      <c r="K45" s="78">
        <f t="shared" si="5"/>
        <v>746318672.29930151</v>
      </c>
    </row>
    <row r="46" spans="7:11" x14ac:dyDescent="0.25">
      <c r="G46" s="31">
        <v>43</v>
      </c>
      <c r="H46" s="33">
        <f t="shared" si="6"/>
        <v>12544595.81145064</v>
      </c>
      <c r="I46" s="77">
        <f>K45*('Price Multiples'!$B$41/12)</f>
        <v>5383477.0469997386</v>
      </c>
      <c r="J46" s="77">
        <f t="shared" si="4"/>
        <v>7161118.7644509012</v>
      </c>
      <c r="K46" s="78">
        <f t="shared" si="5"/>
        <v>739157553.5348506</v>
      </c>
    </row>
    <row r="47" spans="7:11" x14ac:dyDescent="0.25">
      <c r="G47" s="31">
        <v>44</v>
      </c>
      <c r="H47" s="33">
        <f t="shared" si="6"/>
        <v>12544595.81145064</v>
      </c>
      <c r="I47" s="77">
        <f>K46*('Price Multiples'!$B$41/12)</f>
        <v>5331821.2062306898</v>
      </c>
      <c r="J47" s="77">
        <f t="shared" si="4"/>
        <v>7212774.60521995</v>
      </c>
      <c r="K47" s="78">
        <f t="shared" si="5"/>
        <v>731944778.92963064</v>
      </c>
    </row>
    <row r="48" spans="7:11" x14ac:dyDescent="0.25">
      <c r="G48" s="31">
        <v>45</v>
      </c>
      <c r="H48" s="33">
        <f t="shared" si="6"/>
        <v>12544595.81145064</v>
      </c>
      <c r="I48" s="77">
        <f>K47*('Price Multiples'!$B$41/12)</f>
        <v>5279792.7524701059</v>
      </c>
      <c r="J48" s="77">
        <f t="shared" si="4"/>
        <v>7264803.0589805339</v>
      </c>
      <c r="K48" s="78">
        <f t="shared" si="5"/>
        <v>724679975.87065005</v>
      </c>
    </row>
    <row r="49" spans="7:11" x14ac:dyDescent="0.25">
      <c r="G49" s="31">
        <v>46</v>
      </c>
      <c r="H49" s="33">
        <f t="shared" si="6"/>
        <v>12544595.81145064</v>
      </c>
      <c r="I49" s="77">
        <f>K48*('Price Multiples'!$B$41/12)</f>
        <v>5227388.9979204535</v>
      </c>
      <c r="J49" s="77">
        <f t="shared" si="4"/>
        <v>7317206.8135301862</v>
      </c>
      <c r="K49" s="78">
        <f t="shared" si="5"/>
        <v>717362769.05711985</v>
      </c>
    </row>
    <row r="50" spans="7:11" x14ac:dyDescent="0.25">
      <c r="G50" s="31">
        <v>47</v>
      </c>
      <c r="H50" s="33">
        <f t="shared" si="6"/>
        <v>12544595.81145064</v>
      </c>
      <c r="I50" s="77">
        <f>K49*('Price Multiples'!$B$41/12)</f>
        <v>5174607.235396103</v>
      </c>
      <c r="J50" s="77">
        <f t="shared" si="4"/>
        <v>7369988.5760545367</v>
      </c>
      <c r="K50" s="78">
        <f t="shared" si="5"/>
        <v>709992780.48106527</v>
      </c>
    </row>
    <row r="51" spans="7:11" x14ac:dyDescent="0.25">
      <c r="G51" s="31">
        <v>48</v>
      </c>
      <c r="H51" s="33">
        <f t="shared" si="6"/>
        <v>12544595.81145064</v>
      </c>
      <c r="I51" s="77">
        <f>K50*('Price Multiples'!$B$41/12)</f>
        <v>5121444.7381834807</v>
      </c>
      <c r="J51" s="77">
        <f t="shared" si="4"/>
        <v>7423151.0732671591</v>
      </c>
      <c r="K51" s="78">
        <f t="shared" si="5"/>
        <v>702569629.40779817</v>
      </c>
    </row>
    <row r="52" spans="7:11" x14ac:dyDescent="0.25">
      <c r="G52" s="31">
        <v>49</v>
      </c>
      <c r="H52" s="33">
        <f t="shared" si="6"/>
        <v>12544595.81145064</v>
      </c>
      <c r="I52" s="77">
        <f>K51*('Price Multiples'!$B$41/12)</f>
        <v>5067898.7599002002</v>
      </c>
      <c r="J52" s="77">
        <f t="shared" si="4"/>
        <v>7476697.0515504396</v>
      </c>
      <c r="K52" s="78">
        <f t="shared" si="5"/>
        <v>695092932.35624778</v>
      </c>
    </row>
    <row r="53" spans="7:11" x14ac:dyDescent="0.25">
      <c r="G53" s="31">
        <v>50</v>
      </c>
      <c r="H53" s="33">
        <f t="shared" si="6"/>
        <v>12544595.81145064</v>
      </c>
      <c r="I53" s="77">
        <f>K52*('Price Multiples'!$B$41/12)</f>
        <v>5013966.5343531882</v>
      </c>
      <c r="J53" s="77">
        <f t="shared" si="4"/>
        <v>7530629.2770974515</v>
      </c>
      <c r="K53" s="78">
        <f t="shared" si="5"/>
        <v>687562303.07915032</v>
      </c>
    </row>
    <row r="54" spans="7:11" x14ac:dyDescent="0.25">
      <c r="G54" s="31">
        <v>51</v>
      </c>
      <c r="H54" s="33">
        <f t="shared" si="6"/>
        <v>12544595.81145064</v>
      </c>
      <c r="I54" s="77">
        <f>K53*('Price Multiples'!$B$41/12)</f>
        <v>4959645.2753957817</v>
      </c>
      <c r="J54" s="77">
        <f t="shared" si="4"/>
        <v>7584950.536054858</v>
      </c>
      <c r="K54" s="78">
        <f t="shared" si="5"/>
        <v>679977352.54309547</v>
      </c>
    </row>
    <row r="55" spans="7:11" x14ac:dyDescent="0.25">
      <c r="G55" s="31">
        <v>52</v>
      </c>
      <c r="H55" s="33">
        <f t="shared" si="6"/>
        <v>12544595.81145064</v>
      </c>
      <c r="I55" s="77">
        <f>K54*('Price Multiples'!$B$41/12)</f>
        <v>4904932.1767837936</v>
      </c>
      <c r="J55" s="77">
        <f t="shared" si="4"/>
        <v>7639663.6346668461</v>
      </c>
      <c r="K55" s="78">
        <f t="shared" si="5"/>
        <v>672337688.90842867</v>
      </c>
    </row>
    <row r="56" spans="7:11" x14ac:dyDescent="0.25">
      <c r="G56" s="31">
        <v>53</v>
      </c>
      <c r="H56" s="33">
        <f t="shared" si="6"/>
        <v>12544595.81145064</v>
      </c>
      <c r="I56" s="77">
        <f>K55*('Price Multiples'!$B$41/12)</f>
        <v>4849824.4120305441</v>
      </c>
      <c r="J56" s="77">
        <f t="shared" si="4"/>
        <v>7694771.3994200956</v>
      </c>
      <c r="K56" s="78">
        <f t="shared" si="5"/>
        <v>664642917.50900853</v>
      </c>
    </row>
    <row r="57" spans="7:11" x14ac:dyDescent="0.25">
      <c r="G57" s="31">
        <v>54</v>
      </c>
      <c r="H57" s="33">
        <f t="shared" si="6"/>
        <v>12544595.81145064</v>
      </c>
      <c r="I57" s="77">
        <f>K56*('Price Multiples'!$B$41/12)</f>
        <v>4794319.1342608416</v>
      </c>
      <c r="J57" s="77">
        <f t="shared" si="4"/>
        <v>7750276.6771897981</v>
      </c>
      <c r="K57" s="78">
        <f t="shared" si="5"/>
        <v>656892640.8318187</v>
      </c>
    </row>
    <row r="58" spans="7:11" x14ac:dyDescent="0.25">
      <c r="G58" s="31">
        <v>55</v>
      </c>
      <c r="H58" s="33">
        <f t="shared" si="6"/>
        <v>12544595.81145064</v>
      </c>
      <c r="I58" s="77">
        <f>K57*('Price Multiples'!$B$41/12)</f>
        <v>4738413.4760639155</v>
      </c>
      <c r="J58" s="77">
        <f t="shared" si="4"/>
        <v>7806182.3353867242</v>
      </c>
      <c r="K58" s="78">
        <f t="shared" si="5"/>
        <v>649086458.49643195</v>
      </c>
    </row>
    <row r="59" spans="7:11" x14ac:dyDescent="0.25">
      <c r="G59" s="31">
        <v>56</v>
      </c>
      <c r="H59" s="33">
        <f t="shared" si="6"/>
        <v>12544595.81145064</v>
      </c>
      <c r="I59" s="77">
        <f>K58*('Price Multiples'!$B$41/12)</f>
        <v>4682104.549345281</v>
      </c>
      <c r="J59" s="77">
        <f t="shared" si="4"/>
        <v>7862491.2621053588</v>
      </c>
      <c r="K59" s="78">
        <f t="shared" si="5"/>
        <v>641223967.2343266</v>
      </c>
    </row>
    <row r="60" spans="7:11" x14ac:dyDescent="0.25">
      <c r="G60" s="31">
        <v>57</v>
      </c>
      <c r="H60" s="33">
        <f t="shared" si="6"/>
        <v>12544595.81145064</v>
      </c>
      <c r="I60" s="77">
        <f>K59*('Price Multiples'!$B$41/12)</f>
        <v>4625389.4451775467</v>
      </c>
      <c r="J60" s="77">
        <f t="shared" si="4"/>
        <v>7919206.366273093</v>
      </c>
      <c r="K60" s="78">
        <f t="shared" si="5"/>
        <v>633304760.86805356</v>
      </c>
    </row>
    <row r="61" spans="7:11" x14ac:dyDescent="0.25">
      <c r="G61" s="31">
        <v>58</v>
      </c>
      <c r="H61" s="33">
        <f t="shared" si="6"/>
        <v>12544595.81145064</v>
      </c>
      <c r="I61" s="77">
        <f>K60*('Price Multiples'!$B$41/12)</f>
        <v>4568265.2336501312</v>
      </c>
      <c r="J61" s="77">
        <f t="shared" si="4"/>
        <v>7976330.5778005086</v>
      </c>
      <c r="K61" s="78">
        <f t="shared" si="5"/>
        <v>625328430.29025304</v>
      </c>
    </row>
    <row r="62" spans="7:11" x14ac:dyDescent="0.25">
      <c r="G62" s="31">
        <v>59</v>
      </c>
      <c r="H62" s="33">
        <f t="shared" si="6"/>
        <v>12544595.81145064</v>
      </c>
      <c r="I62" s="77">
        <f>K61*('Price Multiples'!$B$41/12)</f>
        <v>4510728.9637179077</v>
      </c>
      <c r="J62" s="77">
        <f t="shared" si="4"/>
        <v>8033866.8477327321</v>
      </c>
      <c r="K62" s="78">
        <f t="shared" si="5"/>
        <v>617294563.44252026</v>
      </c>
    </row>
    <row r="63" spans="7:11" x14ac:dyDescent="0.25">
      <c r="G63" s="31">
        <v>60</v>
      </c>
      <c r="H63" s="33">
        <f t="shared" si="6"/>
        <v>12544595.81145064</v>
      </c>
      <c r="I63" s="77">
        <f>K62*('Price Multiples'!$B$41/12)</f>
        <v>4452777.6630487526</v>
      </c>
      <c r="J63" s="77">
        <f t="shared" si="4"/>
        <v>8091818.1484018872</v>
      </c>
      <c r="K63" s="78">
        <f t="shared" si="5"/>
        <v>609202745.2941184</v>
      </c>
    </row>
    <row r="64" spans="7:11" x14ac:dyDescent="0.25">
      <c r="G64" s="31">
        <v>61</v>
      </c>
      <c r="H64" s="33">
        <f t="shared" si="6"/>
        <v>12544595.81145064</v>
      </c>
      <c r="I64" s="77">
        <f>K63*('Price Multiples'!$B$41/12)</f>
        <v>4394408.3378699943</v>
      </c>
      <c r="J64" s="77">
        <f t="shared" si="4"/>
        <v>8150187.4735806454</v>
      </c>
      <c r="K64" s="78">
        <f t="shared" si="5"/>
        <v>601052557.82053781</v>
      </c>
    </row>
    <row r="65" spans="7:11" x14ac:dyDescent="0.25">
      <c r="G65" s="31">
        <v>62</v>
      </c>
      <c r="H65" s="33">
        <f t="shared" si="6"/>
        <v>12544595.81145064</v>
      </c>
      <c r="I65" s="77">
        <f>K64*('Price Multiples'!$B$41/12)</f>
        <v>4335617.9728137515</v>
      </c>
      <c r="J65" s="77">
        <f t="shared" si="4"/>
        <v>8208977.8386368882</v>
      </c>
      <c r="K65" s="78">
        <f t="shared" si="5"/>
        <v>592843579.98190093</v>
      </c>
    </row>
    <row r="66" spans="7:11" x14ac:dyDescent="0.25">
      <c r="G66" s="31">
        <v>63</v>
      </c>
      <c r="H66" s="33">
        <f t="shared" si="6"/>
        <v>12544595.81145064</v>
      </c>
      <c r="I66" s="77">
        <f>K65*('Price Multiples'!$B$41/12)</f>
        <v>4276403.5307611646</v>
      </c>
      <c r="J66" s="77">
        <f t="shared" si="4"/>
        <v>8268192.2806894751</v>
      </c>
      <c r="K66" s="78">
        <f t="shared" si="5"/>
        <v>584575387.70121145</v>
      </c>
    </row>
    <row r="67" spans="7:11" x14ac:dyDescent="0.25">
      <c r="G67" s="31">
        <v>64</v>
      </c>
      <c r="H67" s="33">
        <f t="shared" si="6"/>
        <v>12544595.81145064</v>
      </c>
      <c r="I67" s="77">
        <f>K66*('Price Multiples'!$B$41/12)</f>
        <v>4216761.9526854903</v>
      </c>
      <c r="J67" s="77">
        <f t="shared" si="4"/>
        <v>8327833.8587651495</v>
      </c>
      <c r="K67" s="78">
        <f t="shared" si="5"/>
        <v>576247553.84244633</v>
      </c>
    </row>
    <row r="68" spans="7:11" x14ac:dyDescent="0.25">
      <c r="G68" s="31">
        <v>65</v>
      </c>
      <c r="H68" s="33">
        <f t="shared" ref="H68:H99" si="7">ABS($H$126)</f>
        <v>12544595.81145064</v>
      </c>
      <c r="I68" s="77">
        <f>K67*('Price Multiples'!$B$41/12)</f>
        <v>4156690.1574940793</v>
      </c>
      <c r="J68" s="77">
        <f t="shared" si="4"/>
        <v>8387905.6539565604</v>
      </c>
      <c r="K68" s="78">
        <f t="shared" si="5"/>
        <v>567859648.18848979</v>
      </c>
    </row>
    <row r="69" spans="7:11" x14ac:dyDescent="0.25">
      <c r="G69" s="31">
        <v>66</v>
      </c>
      <c r="H69" s="33">
        <f t="shared" si="7"/>
        <v>12544595.81145064</v>
      </c>
      <c r="I69" s="77">
        <f>K68*('Price Multiples'!$B$41/12)</f>
        <v>4096185.0418692017</v>
      </c>
      <c r="J69" s="77">
        <f t="shared" ref="J69:J123" si="8">H69-I69</f>
        <v>8448410.7695814371</v>
      </c>
      <c r="K69" s="78">
        <f t="shared" ref="K69:K123" si="9">K68-J69</f>
        <v>559411237.41890836</v>
      </c>
    </row>
    <row r="70" spans="7:11" x14ac:dyDescent="0.25">
      <c r="G70" s="31">
        <v>67</v>
      </c>
      <c r="H70" s="33">
        <f t="shared" si="7"/>
        <v>12544595.81145064</v>
      </c>
      <c r="I70" s="77">
        <f>K69*('Price Multiples'!$B$41/12)</f>
        <v>4035243.4801077307</v>
      </c>
      <c r="J70" s="77">
        <f t="shared" si="8"/>
        <v>8509352.3313429095</v>
      </c>
      <c r="K70" s="78">
        <f t="shared" si="9"/>
        <v>550901885.08756542</v>
      </c>
    </row>
    <row r="71" spans="7:11" x14ac:dyDescent="0.25">
      <c r="G71" s="31">
        <v>68</v>
      </c>
      <c r="H71" s="33">
        <f t="shared" si="7"/>
        <v>12544595.81145064</v>
      </c>
      <c r="I71" s="77">
        <f>K70*('Price Multiples'!$B$41/12)</f>
        <v>3973862.3239596677</v>
      </c>
      <c r="J71" s="77">
        <f t="shared" si="8"/>
        <v>8570733.4874909725</v>
      </c>
      <c r="K71" s="78">
        <f t="shared" si="9"/>
        <v>542331151.60007441</v>
      </c>
    </row>
    <row r="72" spans="7:11" x14ac:dyDescent="0.25">
      <c r="G72" s="31">
        <v>69</v>
      </c>
      <c r="H72" s="33">
        <f t="shared" si="7"/>
        <v>12544595.81145064</v>
      </c>
      <c r="I72" s="77">
        <f>K71*('Price Multiples'!$B$41/12)</f>
        <v>3912038.4024655051</v>
      </c>
      <c r="J72" s="77">
        <f t="shared" si="8"/>
        <v>8632557.4089851342</v>
      </c>
      <c r="K72" s="78">
        <f t="shared" si="9"/>
        <v>533698594.19108927</v>
      </c>
    </row>
    <row r="73" spans="7:11" x14ac:dyDescent="0.25">
      <c r="G73" s="31">
        <v>70</v>
      </c>
      <c r="H73" s="33">
        <f t="shared" si="7"/>
        <v>12544595.81145064</v>
      </c>
      <c r="I73" s="77">
        <f>K72*('Price Multiples'!$B$41/12)</f>
        <v>3849768.5217924113</v>
      </c>
      <c r="J73" s="77">
        <f t="shared" si="8"/>
        <v>8694827.2896582279</v>
      </c>
      <c r="K73" s="78">
        <f t="shared" si="9"/>
        <v>525003766.90143102</v>
      </c>
    </row>
    <row r="74" spans="7:11" x14ac:dyDescent="0.25">
      <c r="G74" s="31">
        <v>71</v>
      </c>
      <c r="H74" s="33">
        <f t="shared" si="7"/>
        <v>12544595.81145064</v>
      </c>
      <c r="I74" s="77">
        <f>K73*('Price Multiples'!$B$41/12)</f>
        <v>3787049.4650692395</v>
      </c>
      <c r="J74" s="77">
        <f t="shared" si="8"/>
        <v>8757546.3463813998</v>
      </c>
      <c r="K74" s="78">
        <f t="shared" si="9"/>
        <v>516246220.5550496</v>
      </c>
    </row>
    <row r="75" spans="7:11" x14ac:dyDescent="0.25">
      <c r="G75" s="31">
        <v>72</v>
      </c>
      <c r="H75" s="33">
        <f t="shared" si="7"/>
        <v>12544595.81145064</v>
      </c>
      <c r="I75" s="77">
        <f>K74*('Price Multiples'!$B$41/12)</f>
        <v>3723877.9922203417</v>
      </c>
      <c r="J75" s="77">
        <f t="shared" si="8"/>
        <v>8820717.8192302976</v>
      </c>
      <c r="K75" s="78">
        <f t="shared" si="9"/>
        <v>507425502.73581928</v>
      </c>
    </row>
    <row r="76" spans="7:11" x14ac:dyDescent="0.25">
      <c r="G76" s="31">
        <v>73</v>
      </c>
      <c r="H76" s="33">
        <f t="shared" si="7"/>
        <v>12544595.81145064</v>
      </c>
      <c r="I76" s="77">
        <f>K75*('Price Multiples'!$B$41/12)</f>
        <v>3660250.8397981869</v>
      </c>
      <c r="J76" s="77">
        <f t="shared" si="8"/>
        <v>8884344.9716524519</v>
      </c>
      <c r="K76" s="78">
        <f t="shared" si="9"/>
        <v>498541157.76416683</v>
      </c>
    </row>
    <row r="77" spans="7:11" x14ac:dyDescent="0.25">
      <c r="G77" s="31">
        <v>74</v>
      </c>
      <c r="H77" s="33">
        <f t="shared" si="7"/>
        <v>12544595.81145064</v>
      </c>
      <c r="I77" s="77">
        <f>K76*('Price Multiples'!$B$41/12)</f>
        <v>3596164.7208147701</v>
      </c>
      <c r="J77" s="77">
        <f t="shared" si="8"/>
        <v>8948431.0906358697</v>
      </c>
      <c r="K77" s="78">
        <f t="shared" si="9"/>
        <v>489592726.67353094</v>
      </c>
    </row>
    <row r="78" spans="7:11" x14ac:dyDescent="0.25">
      <c r="G78" s="31">
        <v>75</v>
      </c>
      <c r="H78" s="33">
        <f t="shared" si="7"/>
        <v>12544595.81145064</v>
      </c>
      <c r="I78" s="77">
        <f>K77*('Price Multiples'!$B$41/12)</f>
        <v>3531616.3245718074</v>
      </c>
      <c r="J78" s="77">
        <f t="shared" si="8"/>
        <v>9012979.4868788328</v>
      </c>
      <c r="K78" s="78">
        <f t="shared" si="9"/>
        <v>480579747.18665212</v>
      </c>
    </row>
    <row r="79" spans="7:11" x14ac:dyDescent="0.25">
      <c r="G79" s="31">
        <v>76</v>
      </c>
      <c r="H79" s="33">
        <f t="shared" si="7"/>
        <v>12544595.81145064</v>
      </c>
      <c r="I79" s="77">
        <f>K78*('Price Multiples'!$B$41/12)</f>
        <v>3466602.316489704</v>
      </c>
      <c r="J79" s="77">
        <f t="shared" si="8"/>
        <v>9077993.4949609358</v>
      </c>
      <c r="K79" s="78">
        <f t="shared" si="9"/>
        <v>471501753.69169116</v>
      </c>
    </row>
    <row r="80" spans="7:11" x14ac:dyDescent="0.25">
      <c r="G80" s="31">
        <v>77</v>
      </c>
      <c r="H80" s="33">
        <f t="shared" si="7"/>
        <v>12544595.81145064</v>
      </c>
      <c r="I80" s="77">
        <f>K79*('Price Multiples'!$B$41/12)</f>
        <v>3401119.337935288</v>
      </c>
      <c r="J80" s="77">
        <f t="shared" si="8"/>
        <v>9143476.4735153522</v>
      </c>
      <c r="K80" s="78">
        <f t="shared" si="9"/>
        <v>462358277.21817583</v>
      </c>
    </row>
    <row r="81" spans="7:11" x14ac:dyDescent="0.25">
      <c r="G81" s="31">
        <v>78</v>
      </c>
      <c r="H81" s="33">
        <f t="shared" si="7"/>
        <v>12544595.81145064</v>
      </c>
      <c r="I81" s="77">
        <f>K80*('Price Multiples'!$B$41/12)</f>
        <v>3335164.0060483064</v>
      </c>
      <c r="J81" s="77">
        <f t="shared" si="8"/>
        <v>9209431.8054023329</v>
      </c>
      <c r="K81" s="78">
        <f t="shared" si="9"/>
        <v>453148845.41277349</v>
      </c>
    </row>
    <row r="82" spans="7:11" x14ac:dyDescent="0.25">
      <c r="G82" s="31">
        <v>79</v>
      </c>
      <c r="H82" s="33">
        <f t="shared" si="7"/>
        <v>12544595.81145064</v>
      </c>
      <c r="I82" s="77">
        <f>K81*('Price Multiples'!$B$41/12)</f>
        <v>3268732.9135666625</v>
      </c>
      <c r="J82" s="77">
        <f t="shared" si="8"/>
        <v>9275862.8978839777</v>
      </c>
      <c r="K82" s="78">
        <f t="shared" si="9"/>
        <v>443872982.51488954</v>
      </c>
    </row>
    <row r="83" spans="7:11" x14ac:dyDescent="0.25">
      <c r="G83" s="31">
        <v>80</v>
      </c>
      <c r="H83" s="33">
        <f t="shared" si="7"/>
        <v>12544595.81145064</v>
      </c>
      <c r="I83" s="77">
        <f>K82*('Price Multiples'!$B$41/12)</f>
        <v>3201822.6286503975</v>
      </c>
      <c r="J83" s="77">
        <f t="shared" si="8"/>
        <v>9342773.1828002427</v>
      </c>
      <c r="K83" s="78">
        <f t="shared" si="9"/>
        <v>434530209.3320893</v>
      </c>
    </row>
    <row r="84" spans="7:11" x14ac:dyDescent="0.25">
      <c r="G84" s="31">
        <v>81</v>
      </c>
      <c r="H84" s="33">
        <f t="shared" si="7"/>
        <v>12544595.81145064</v>
      </c>
      <c r="I84" s="77">
        <f>K83*('Price Multiples'!$B$41/12)</f>
        <v>3134429.6947044022</v>
      </c>
      <c r="J84" s="77">
        <f t="shared" si="8"/>
        <v>9410166.1167462375</v>
      </c>
      <c r="K84" s="78">
        <f t="shared" si="9"/>
        <v>425120043.21534306</v>
      </c>
    </row>
    <row r="85" spans="7:11" x14ac:dyDescent="0.25">
      <c r="G85" s="31">
        <v>82</v>
      </c>
      <c r="H85" s="33">
        <f t="shared" si="7"/>
        <v>12544595.81145064</v>
      </c>
      <c r="I85" s="77">
        <f>K84*('Price Multiples'!$B$41/12)</f>
        <v>3066550.6301998473</v>
      </c>
      <c r="J85" s="77">
        <f t="shared" si="8"/>
        <v>9478045.181250792</v>
      </c>
      <c r="K85" s="78">
        <f t="shared" si="9"/>
        <v>415641998.03409225</v>
      </c>
    </row>
    <row r="86" spans="7:11" x14ac:dyDescent="0.25">
      <c r="G86" s="31">
        <v>83</v>
      </c>
      <c r="H86" s="33">
        <f t="shared" si="7"/>
        <v>12544595.81145064</v>
      </c>
      <c r="I86" s="77">
        <f>K85*('Price Multiples'!$B$41/12)</f>
        <v>2998181.9284943277</v>
      </c>
      <c r="J86" s="77">
        <f t="shared" si="8"/>
        <v>9546413.8829563111</v>
      </c>
      <c r="K86" s="78">
        <f t="shared" si="9"/>
        <v>406095584.15113592</v>
      </c>
    </row>
    <row r="87" spans="7:11" x14ac:dyDescent="0.25">
      <c r="G87" s="31">
        <v>84</v>
      </c>
      <c r="H87" s="33">
        <f t="shared" si="7"/>
        <v>12544595.81145064</v>
      </c>
      <c r="I87" s="77">
        <f>K86*('Price Multiples'!$B$41/12)</f>
        <v>2929320.0576507095</v>
      </c>
      <c r="J87" s="77">
        <f t="shared" si="8"/>
        <v>9615275.7537999302</v>
      </c>
      <c r="K87" s="78">
        <f t="shared" si="9"/>
        <v>396480308.39733601</v>
      </c>
    </row>
    <row r="88" spans="7:11" x14ac:dyDescent="0.25">
      <c r="G88" s="31">
        <v>85</v>
      </c>
      <c r="H88" s="33">
        <f t="shared" si="7"/>
        <v>12544595.81145064</v>
      </c>
      <c r="I88" s="77">
        <f>K87*('Price Multiples'!$B$41/12)</f>
        <v>2859961.4602546687</v>
      </c>
      <c r="J88" s="77">
        <f t="shared" si="8"/>
        <v>9684634.3511959706</v>
      </c>
      <c r="K88" s="78">
        <f t="shared" si="9"/>
        <v>386795674.04614002</v>
      </c>
    </row>
    <row r="89" spans="7:11" x14ac:dyDescent="0.25">
      <c r="G89" s="31">
        <v>86</v>
      </c>
      <c r="H89" s="33">
        <f t="shared" si="7"/>
        <v>12544595.81145064</v>
      </c>
      <c r="I89" s="77">
        <f>K88*('Price Multiples'!$B$41/12)</f>
        <v>2790102.5532309143</v>
      </c>
      <c r="J89" s="77">
        <f t="shared" si="8"/>
        <v>9754493.2582197264</v>
      </c>
      <c r="K89" s="78">
        <f t="shared" si="9"/>
        <v>377041180.7879203</v>
      </c>
    </row>
    <row r="90" spans="7:11" x14ac:dyDescent="0.25">
      <c r="G90" s="31">
        <v>87</v>
      </c>
      <c r="H90" s="33">
        <f t="shared" si="7"/>
        <v>12544595.81145064</v>
      </c>
      <c r="I90" s="77">
        <f>K89*('Price Multiples'!$B$41/12)</f>
        <v>2719739.7276580874</v>
      </c>
      <c r="J90" s="77">
        <f t="shared" si="8"/>
        <v>9824856.0837925524</v>
      </c>
      <c r="K90" s="78">
        <f t="shared" si="9"/>
        <v>367216324.70412773</v>
      </c>
    </row>
    <row r="91" spans="7:11" x14ac:dyDescent="0.25">
      <c r="G91" s="31">
        <v>88</v>
      </c>
      <c r="H91" s="33">
        <f t="shared" si="7"/>
        <v>12544595.81145064</v>
      </c>
      <c r="I91" s="77">
        <f>K90*('Price Multiples'!$B$41/12)</f>
        <v>2648869.3485823227</v>
      </c>
      <c r="J91" s="77">
        <f t="shared" si="8"/>
        <v>9895726.462868318</v>
      </c>
      <c r="K91" s="78">
        <f t="shared" si="9"/>
        <v>357320598.2412594</v>
      </c>
    </row>
    <row r="92" spans="7:11" x14ac:dyDescent="0.25">
      <c r="G92" s="31">
        <v>89</v>
      </c>
      <c r="H92" s="33">
        <f t="shared" si="7"/>
        <v>12544595.81145064</v>
      </c>
      <c r="I92" s="77">
        <f>K91*('Price Multiples'!$B$41/12)</f>
        <v>2577487.7548294668</v>
      </c>
      <c r="J92" s="77">
        <f t="shared" si="8"/>
        <v>9967108.0566211734</v>
      </c>
      <c r="K92" s="78">
        <f t="shared" si="9"/>
        <v>347353490.1846382</v>
      </c>
    </row>
    <row r="93" spans="7:11" x14ac:dyDescent="0.25">
      <c r="G93" s="31">
        <v>90</v>
      </c>
      <c r="H93" s="33">
        <f t="shared" si="7"/>
        <v>12544595.81145064</v>
      </c>
      <c r="I93" s="77">
        <f>K92*('Price Multiples'!$B$41/12)</f>
        <v>2505591.2588159409</v>
      </c>
      <c r="J93" s="77">
        <f t="shared" si="8"/>
        <v>10039004.552634699</v>
      </c>
      <c r="K93" s="78">
        <f t="shared" si="9"/>
        <v>337314485.63200349</v>
      </c>
    </row>
    <row r="94" spans="7:11" x14ac:dyDescent="0.25">
      <c r="G94" s="31">
        <v>91</v>
      </c>
      <c r="H94" s="33">
        <f t="shared" si="7"/>
        <v>12544595.81145064</v>
      </c>
      <c r="I94" s="77">
        <f>K93*('Price Multiples'!$B$41/12)</f>
        <v>2433176.1463582418</v>
      </c>
      <c r="J94" s="77">
        <f t="shared" si="8"/>
        <v>10111419.665092397</v>
      </c>
      <c r="K94" s="78">
        <f t="shared" si="9"/>
        <v>327203065.96691108</v>
      </c>
    </row>
    <row r="95" spans="7:11" x14ac:dyDescent="0.25">
      <c r="G95" s="31">
        <v>92</v>
      </c>
      <c r="H95" s="33">
        <f t="shared" si="7"/>
        <v>12544595.81145064</v>
      </c>
      <c r="I95" s="77">
        <f>K94*('Price Multiples'!$B$41/12)</f>
        <v>2360238.6764810625</v>
      </c>
      <c r="J95" s="77">
        <f t="shared" si="8"/>
        <v>10184357.134969577</v>
      </c>
      <c r="K95" s="78">
        <f t="shared" si="9"/>
        <v>317018708.83194149</v>
      </c>
    </row>
    <row r="96" spans="7:11" x14ac:dyDescent="0.25">
      <c r="G96" s="31">
        <v>93</v>
      </c>
      <c r="H96" s="33">
        <f t="shared" si="7"/>
        <v>12544595.81145064</v>
      </c>
      <c r="I96" s="77">
        <f>K95*('Price Multiples'!$B$41/12)</f>
        <v>2286775.0812240364</v>
      </c>
      <c r="J96" s="77">
        <f t="shared" si="8"/>
        <v>10257820.730226602</v>
      </c>
      <c r="K96" s="78">
        <f t="shared" si="9"/>
        <v>306760888.10171491</v>
      </c>
    </row>
    <row r="97" spans="7:11" x14ac:dyDescent="0.25">
      <c r="G97" s="31">
        <v>94</v>
      </c>
      <c r="H97" s="33">
        <f t="shared" si="7"/>
        <v>12544595.81145064</v>
      </c>
      <c r="I97" s="77">
        <f>K96*('Price Multiples'!$B$41/12)</f>
        <v>2212781.5654470837</v>
      </c>
      <c r="J97" s="77">
        <f t="shared" si="8"/>
        <v>10331814.246003557</v>
      </c>
      <c r="K97" s="78">
        <f t="shared" si="9"/>
        <v>296429073.85571134</v>
      </c>
    </row>
    <row r="98" spans="7:11" x14ac:dyDescent="0.25">
      <c r="G98" s="31">
        <v>95</v>
      </c>
      <c r="H98" s="33">
        <f t="shared" si="7"/>
        <v>12544595.81145064</v>
      </c>
      <c r="I98" s="77">
        <f>K97*('Price Multiples'!$B$41/12)</f>
        <v>2138254.3066343507</v>
      </c>
      <c r="J98" s="77">
        <f t="shared" si="8"/>
        <v>10406341.50481629</v>
      </c>
      <c r="K98" s="78">
        <f t="shared" si="9"/>
        <v>286022732.35089505</v>
      </c>
    </row>
    <row r="99" spans="7:11" x14ac:dyDescent="0.25">
      <c r="G99" s="31">
        <v>96</v>
      </c>
      <c r="H99" s="33">
        <f t="shared" si="7"/>
        <v>12544595.81145064</v>
      </c>
      <c r="I99" s="77">
        <f>K98*('Price Multiples'!$B$41/12)</f>
        <v>2063189.4546967428</v>
      </c>
      <c r="J99" s="77">
        <f t="shared" si="8"/>
        <v>10481406.356753897</v>
      </c>
      <c r="K99" s="78">
        <f t="shared" si="9"/>
        <v>275541325.99414116</v>
      </c>
    </row>
    <row r="100" spans="7:11" x14ac:dyDescent="0.25">
      <c r="G100" s="31">
        <v>97</v>
      </c>
      <c r="H100" s="33">
        <f t="shared" ref="H100:H123" si="10">ABS($H$126)</f>
        <v>12544595.81145064</v>
      </c>
      <c r="I100" s="77">
        <f>K99*('Price Multiples'!$B$41/12)</f>
        <v>1987583.1317730246</v>
      </c>
      <c r="J100" s="77">
        <f t="shared" si="8"/>
        <v>10557012.679677615</v>
      </c>
      <c r="K100" s="78">
        <f t="shared" si="9"/>
        <v>264984313.31446356</v>
      </c>
    </row>
    <row r="101" spans="7:11" x14ac:dyDescent="0.25">
      <c r="G101" s="31">
        <v>98</v>
      </c>
      <c r="H101" s="33">
        <f t="shared" si="10"/>
        <v>12544595.81145064</v>
      </c>
      <c r="I101" s="77">
        <f>K100*('Price Multiples'!$B$41/12)</f>
        <v>1911431.4320294904</v>
      </c>
      <c r="J101" s="77">
        <f t="shared" si="8"/>
        <v>10633164.379421148</v>
      </c>
      <c r="K101" s="78">
        <f t="shared" si="9"/>
        <v>254351148.93504241</v>
      </c>
    </row>
    <row r="102" spans="7:11" x14ac:dyDescent="0.25">
      <c r="G102" s="31">
        <v>99</v>
      </c>
      <c r="H102" s="33">
        <f t="shared" si="10"/>
        <v>12544595.81145064</v>
      </c>
      <c r="I102" s="77">
        <f>K101*('Price Multiples'!$B$41/12)</f>
        <v>1834730.421458188</v>
      </c>
      <c r="J102" s="77">
        <f t="shared" si="8"/>
        <v>10709865.389992451</v>
      </c>
      <c r="K102" s="78">
        <f t="shared" si="9"/>
        <v>243641283.54504997</v>
      </c>
    </row>
    <row r="103" spans="7:11" x14ac:dyDescent="0.25">
      <c r="G103" s="31">
        <v>100</v>
      </c>
      <c r="H103" s="33">
        <f t="shared" si="10"/>
        <v>12544595.81145064</v>
      </c>
      <c r="I103" s="77">
        <f>K102*('Price Multiples'!$B$41/12)</f>
        <v>1757476.1376736884</v>
      </c>
      <c r="J103" s="77">
        <f t="shared" si="8"/>
        <v>10787119.673776951</v>
      </c>
      <c r="K103" s="78">
        <f t="shared" si="9"/>
        <v>232854163.87127301</v>
      </c>
    </row>
    <row r="104" spans="7:11" x14ac:dyDescent="0.25">
      <c r="G104" s="31">
        <f>G103+1</f>
        <v>101</v>
      </c>
      <c r="H104" s="33">
        <f t="shared" si="10"/>
        <v>12544595.81145064</v>
      </c>
      <c r="I104" s="77">
        <f>K103*('Price Multiples'!$B$41/12)</f>
        <v>1679664.5897083865</v>
      </c>
      <c r="J104" s="77">
        <f t="shared" si="8"/>
        <v>10864931.221742254</v>
      </c>
      <c r="K104" s="78">
        <f t="shared" si="9"/>
        <v>221989232.64953077</v>
      </c>
    </row>
    <row r="105" spans="7:11" x14ac:dyDescent="0.25">
      <c r="G105" s="31">
        <f t="shared" ref="G105:G123" si="11">G104+1</f>
        <v>102</v>
      </c>
      <c r="H105" s="33">
        <f t="shared" si="10"/>
        <v>12544595.81145064</v>
      </c>
      <c r="I105" s="77">
        <f>K104*('Price Multiples'!$B$41/12)</f>
        <v>1601291.7578063286</v>
      </c>
      <c r="J105" s="77">
        <f t="shared" si="8"/>
        <v>10943304.053644311</v>
      </c>
      <c r="K105" s="78">
        <f t="shared" si="9"/>
        <v>211045928.59588647</v>
      </c>
    </row>
    <row r="106" spans="7:11" x14ac:dyDescent="0.25">
      <c r="G106" s="31">
        <f t="shared" si="11"/>
        <v>103</v>
      </c>
      <c r="H106" s="33">
        <f t="shared" si="10"/>
        <v>12544595.81145064</v>
      </c>
      <c r="I106" s="77">
        <f>K105*('Price Multiples'!$B$41/12)</f>
        <v>1522353.5932155505</v>
      </c>
      <c r="J106" s="77">
        <f t="shared" si="8"/>
        <v>11022242.218235089</v>
      </c>
      <c r="K106" s="78">
        <f t="shared" si="9"/>
        <v>200023686.37765139</v>
      </c>
    </row>
    <row r="107" spans="7:11" x14ac:dyDescent="0.25">
      <c r="G107" s="31">
        <f t="shared" si="11"/>
        <v>104</v>
      </c>
      <c r="H107" s="33">
        <f t="shared" si="10"/>
        <v>12544595.81145064</v>
      </c>
      <c r="I107" s="77">
        <f>K106*('Price Multiples'!$B$41/12)</f>
        <v>1442846.0179789185</v>
      </c>
      <c r="J107" s="77">
        <f t="shared" si="8"/>
        <v>11101749.793471722</v>
      </c>
      <c r="K107" s="78">
        <f t="shared" si="9"/>
        <v>188921936.58417967</v>
      </c>
    </row>
    <row r="108" spans="7:11" x14ac:dyDescent="0.25">
      <c r="G108" s="31">
        <f t="shared" si="11"/>
        <v>105</v>
      </c>
      <c r="H108" s="33">
        <f t="shared" si="10"/>
        <v>12544595.81145064</v>
      </c>
      <c r="I108" s="77">
        <f>K107*('Price Multiples'!$B$41/12)</f>
        <v>1362764.9247234617</v>
      </c>
      <c r="J108" s="77">
        <f t="shared" si="8"/>
        <v>11181830.886727178</v>
      </c>
      <c r="K108" s="78">
        <f t="shared" si="9"/>
        <v>177740105.69745249</v>
      </c>
    </row>
    <row r="109" spans="7:11" x14ac:dyDescent="0.25">
      <c r="G109" s="31">
        <f t="shared" si="11"/>
        <v>106</v>
      </c>
      <c r="H109" s="33">
        <f t="shared" si="10"/>
        <v>12544595.81145064</v>
      </c>
      <c r="I109" s="77">
        <f>K108*('Price Multiples'!$B$41/12)</f>
        <v>1282106.1764481843</v>
      </c>
      <c r="J109" s="77">
        <f t="shared" si="8"/>
        <v>11262489.635002455</v>
      </c>
      <c r="K109" s="78">
        <f t="shared" si="9"/>
        <v>166477616.06245002</v>
      </c>
    </row>
    <row r="110" spans="7:11" x14ac:dyDescent="0.25">
      <c r="G110" s="31">
        <f t="shared" si="11"/>
        <v>107</v>
      </c>
      <c r="H110" s="33">
        <f t="shared" si="10"/>
        <v>12544595.81145064</v>
      </c>
      <c r="I110" s="77">
        <f>K109*('Price Multiples'!$B$41/12)</f>
        <v>1200865.606310348</v>
      </c>
      <c r="J110" s="77">
        <f t="shared" si="8"/>
        <v>11343730.205140293</v>
      </c>
      <c r="K110" s="78">
        <f t="shared" si="9"/>
        <v>155133885.85730973</v>
      </c>
    </row>
    <row r="111" spans="7:11" x14ac:dyDescent="0.25">
      <c r="G111" s="31">
        <f t="shared" si="11"/>
        <v>108</v>
      </c>
      <c r="H111" s="33">
        <f t="shared" si="10"/>
        <v>12544595.81145064</v>
      </c>
      <c r="I111" s="77">
        <f>K110*('Price Multiples'!$B$41/12)</f>
        <v>1119039.017410212</v>
      </c>
      <c r="J111" s="77">
        <f t="shared" si="8"/>
        <v>11425556.794040428</v>
      </c>
      <c r="K111" s="78">
        <f t="shared" si="9"/>
        <v>143708329.06326929</v>
      </c>
    </row>
    <row r="112" spans="7:11" x14ac:dyDescent="0.25">
      <c r="G112" s="31">
        <f t="shared" si="11"/>
        <v>109</v>
      </c>
      <c r="H112" s="33">
        <f t="shared" si="10"/>
        <v>12544595.81145064</v>
      </c>
      <c r="I112" s="77">
        <f>K111*('Price Multiples'!$B$41/12)</f>
        <v>1036622.1825742195</v>
      </c>
      <c r="J112" s="77">
        <f t="shared" si="8"/>
        <v>11507973.62887642</v>
      </c>
      <c r="K112" s="78">
        <f t="shared" si="9"/>
        <v>132200355.43439287</v>
      </c>
    </row>
    <row r="113" spans="7:11" x14ac:dyDescent="0.25">
      <c r="G113" s="31">
        <f t="shared" si="11"/>
        <v>110</v>
      </c>
      <c r="H113" s="33">
        <f t="shared" si="10"/>
        <v>12544595.81145064</v>
      </c>
      <c r="I113" s="77">
        <f>K112*('Price Multiples'!$B$41/12)</f>
        <v>953610.84413662367</v>
      </c>
      <c r="J113" s="77">
        <f t="shared" si="8"/>
        <v>11590984.967314016</v>
      </c>
      <c r="K113" s="78">
        <f t="shared" si="9"/>
        <v>120609370.46707885</v>
      </c>
    </row>
    <row r="114" spans="7:11" x14ac:dyDescent="0.25">
      <c r="G114" s="31">
        <f t="shared" si="11"/>
        <v>111</v>
      </c>
      <c r="H114" s="33">
        <f t="shared" si="10"/>
        <v>12544595.81145064</v>
      </c>
      <c r="I114" s="77">
        <f>K113*('Price Multiples'!$B$41/12)</f>
        <v>870000.71371953376</v>
      </c>
      <c r="J114" s="77">
        <f t="shared" si="8"/>
        <v>11674595.097731106</v>
      </c>
      <c r="K114" s="78">
        <f t="shared" si="9"/>
        <v>108934775.36934775</v>
      </c>
    </row>
    <row r="115" spans="7:11" x14ac:dyDescent="0.25">
      <c r="G115" s="31">
        <f t="shared" si="11"/>
        <v>112</v>
      </c>
      <c r="H115" s="33">
        <f t="shared" si="10"/>
        <v>12544595.81145064</v>
      </c>
      <c r="I115" s="77">
        <f>K114*('Price Multiples'!$B$41/12)</f>
        <v>785787.47201137792</v>
      </c>
      <c r="J115" s="77">
        <f t="shared" si="8"/>
        <v>11758808.339439262</v>
      </c>
      <c r="K115" s="78">
        <f t="shared" si="9"/>
        <v>97175967.029908493</v>
      </c>
    </row>
    <row r="116" spans="7:11" x14ac:dyDescent="0.25">
      <c r="G116" s="31">
        <f t="shared" si="11"/>
        <v>113</v>
      </c>
      <c r="H116" s="33">
        <f t="shared" si="10"/>
        <v>12544595.81145064</v>
      </c>
      <c r="I116" s="77">
        <f>K115*('Price Multiples'!$B$41/12)</f>
        <v>700966.7685437667</v>
      </c>
      <c r="J116" s="77">
        <f t="shared" si="8"/>
        <v>11843629.042906873</v>
      </c>
      <c r="K116" s="78">
        <f t="shared" si="9"/>
        <v>85332337.987001628</v>
      </c>
    </row>
    <row r="117" spans="7:11" x14ac:dyDescent="0.25">
      <c r="G117" s="31">
        <f t="shared" si="11"/>
        <v>114</v>
      </c>
      <c r="H117" s="33">
        <f t="shared" si="10"/>
        <v>12544595.81145064</v>
      </c>
      <c r="I117" s="77">
        <f>K116*('Price Multiples'!$B$41/12)</f>
        <v>615534.22146674746</v>
      </c>
      <c r="J117" s="77">
        <f t="shared" si="8"/>
        <v>11929061.589983892</v>
      </c>
      <c r="K117" s="78">
        <f t="shared" si="9"/>
        <v>73403276.397017732</v>
      </c>
    </row>
    <row r="118" spans="7:11" x14ac:dyDescent="0.25">
      <c r="G118" s="31">
        <f>G117+1</f>
        <v>115</v>
      </c>
      <c r="H118" s="33">
        <f t="shared" si="10"/>
        <v>12544595.81145064</v>
      </c>
      <c r="I118" s="77">
        <f>K117*('Price Multiples'!$B$41/12)</f>
        <v>529485.41732243681</v>
      </c>
      <c r="J118" s="77">
        <f t="shared" si="8"/>
        <v>12015110.394128203</v>
      </c>
      <c r="K118" s="78">
        <f t="shared" si="9"/>
        <v>61388166.002889529</v>
      </c>
    </row>
    <row r="119" spans="7:11" x14ac:dyDescent="0.25">
      <c r="G119" s="31">
        <f t="shared" si="11"/>
        <v>116</v>
      </c>
      <c r="H119" s="33">
        <f t="shared" si="10"/>
        <v>12544595.81145064</v>
      </c>
      <c r="I119" s="77">
        <f>K118*('Price Multiples'!$B$41/12)</f>
        <v>442815.91081702162</v>
      </c>
      <c r="J119" s="77">
        <f t="shared" si="8"/>
        <v>12101779.900633618</v>
      </c>
      <c r="K119" s="78">
        <f t="shared" si="9"/>
        <v>49286386.102255911</v>
      </c>
    </row>
    <row r="120" spans="7:11" x14ac:dyDescent="0.25">
      <c r="G120" s="31">
        <f t="shared" si="11"/>
        <v>117</v>
      </c>
      <c r="H120" s="33">
        <f t="shared" si="10"/>
        <v>12544595.81145064</v>
      </c>
      <c r="I120" s="77">
        <f>K119*('Price Multiples'!$B$41/12)</f>
        <v>355521.22459111351</v>
      </c>
      <c r="J120" s="77">
        <f t="shared" si="8"/>
        <v>12189074.586859526</v>
      </c>
      <c r="K120" s="78">
        <f t="shared" si="9"/>
        <v>37097311.515396386</v>
      </c>
    </row>
    <row r="121" spans="7:11" x14ac:dyDescent="0.25">
      <c r="G121" s="31">
        <f t="shared" si="11"/>
        <v>118</v>
      </c>
      <c r="H121" s="33">
        <f t="shared" si="10"/>
        <v>12544595.81145064</v>
      </c>
      <c r="I121" s="77">
        <f>K120*('Price Multiples'!$B$41/12)</f>
        <v>267596.84898844844</v>
      </c>
      <c r="J121" s="77">
        <f t="shared" si="8"/>
        <v>12276998.962462191</v>
      </c>
      <c r="K121" s="78">
        <f t="shared" si="9"/>
        <v>24820312.552934196</v>
      </c>
    </row>
    <row r="122" spans="7:11" x14ac:dyDescent="0.25">
      <c r="G122" s="31">
        <f t="shared" si="11"/>
        <v>119</v>
      </c>
      <c r="H122" s="33">
        <f t="shared" si="10"/>
        <v>12544595.81145064</v>
      </c>
      <c r="I122" s="77">
        <f>K121*('Price Multiples'!$B$41/12)</f>
        <v>179038.24182291704</v>
      </c>
      <c r="J122" s="77">
        <f t="shared" si="8"/>
        <v>12365557.569627723</v>
      </c>
      <c r="K122" s="78">
        <f t="shared" si="9"/>
        <v>12454754.983306473</v>
      </c>
    </row>
    <row r="123" spans="7:11" x14ac:dyDescent="0.25">
      <c r="G123" s="31">
        <f t="shared" si="11"/>
        <v>120</v>
      </c>
      <c r="H123" s="33">
        <f t="shared" si="10"/>
        <v>12544595.81145064</v>
      </c>
      <c r="I123" s="77">
        <f>K122*('Price Multiples'!$B$41/12)</f>
        <v>89840.828143914521</v>
      </c>
      <c r="J123" s="77">
        <f t="shared" si="8"/>
        <v>12454754.983306725</v>
      </c>
      <c r="K123" s="78">
        <f t="shared" si="9"/>
        <v>-2.514570951461792E-7</v>
      </c>
    </row>
    <row r="124" spans="7:11" x14ac:dyDescent="0.25">
      <c r="G124" s="31" t="s">
        <v>151</v>
      </c>
      <c r="H124" s="78">
        <f>SUM(H4:H103)</f>
        <v>1254459581.1450639</v>
      </c>
      <c r="I124" s="78">
        <f>SUM(I4:I103)</f>
        <v>482313745.0163371</v>
      </c>
      <c r="J124" s="78">
        <f>SUM(J4:J103)</f>
        <v>772145836.12872696</v>
      </c>
      <c r="K124" s="78"/>
    </row>
    <row r="126" spans="7:11" x14ac:dyDescent="0.25">
      <c r="G126" s="23" t="s">
        <v>152</v>
      </c>
      <c r="H126" s="80">
        <f>PMT('Price Multiples'!B41/12,10*12,K3)</f>
        <v>-12544595.81145064</v>
      </c>
      <c r="I126" s="81"/>
      <c r="J126" s="82"/>
    </row>
  </sheetData>
  <sheetProtection password="CC8E" sheet="1" objects="1" scenarios="1" selectLockedCells="1"/>
  <mergeCells count="3">
    <mergeCell ref="B16:C16"/>
    <mergeCell ref="C1:E1"/>
    <mergeCell ref="G1:K1"/>
  </mergeCells>
  <pageMargins left="0.7" right="0.7" top="0.75" bottom="0.75" header="0.3" footer="0.3"/>
  <ignoredErrors>
    <ignoredError sqref="B14" formulaRange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I2" sqref="I2"/>
    </sheetView>
  </sheetViews>
  <sheetFormatPr defaultRowHeight="15" x14ac:dyDescent="0.25"/>
  <cols>
    <col min="1" max="1" width="34" style="4" bestFit="1" customWidth="1"/>
    <col min="2" max="2" width="15.7109375" style="4" bestFit="1" customWidth="1"/>
    <col min="3" max="3" width="15.7109375" style="4" customWidth="1"/>
    <col min="4" max="4" width="9.140625" style="4"/>
    <col min="5" max="5" width="12.5703125" style="4" bestFit="1" customWidth="1"/>
    <col min="6" max="6" width="12.42578125" style="4" bestFit="1" customWidth="1"/>
    <col min="7" max="7" width="9.140625" style="4"/>
    <col min="8" max="8" width="34.140625" style="4" bestFit="1" customWidth="1"/>
    <col min="9" max="9" width="19" style="4" bestFit="1" customWidth="1"/>
    <col min="10" max="10" width="9.140625" style="4"/>
    <col min="11" max="11" width="34.140625" style="4" bestFit="1" customWidth="1"/>
    <col min="12" max="12" width="21.42578125" style="4" bestFit="1" customWidth="1"/>
    <col min="13" max="13" width="18.7109375" style="4" bestFit="1" customWidth="1"/>
    <col min="14" max="14" width="24.85546875" style="4" bestFit="1" customWidth="1"/>
    <col min="15" max="15" width="19" style="4" bestFit="1" customWidth="1"/>
    <col min="16" max="16384" width="9.140625" style="4"/>
  </cols>
  <sheetData>
    <row r="1" spans="1:15" x14ac:dyDescent="0.25">
      <c r="A1" s="83" t="s">
        <v>157</v>
      </c>
      <c r="B1" s="83"/>
      <c r="C1" s="84"/>
      <c r="E1" s="45" t="s">
        <v>125</v>
      </c>
      <c r="F1" s="5"/>
      <c r="H1" s="85" t="s">
        <v>166</v>
      </c>
      <c r="I1" s="86"/>
      <c r="K1" s="83" t="s">
        <v>168</v>
      </c>
      <c r="L1" s="83"/>
      <c r="M1" s="18"/>
      <c r="N1" s="83" t="s">
        <v>219</v>
      </c>
      <c r="O1" s="83"/>
    </row>
    <row r="2" spans="1:15" x14ac:dyDescent="0.25">
      <c r="A2" s="5" t="s">
        <v>158</v>
      </c>
      <c r="B2" s="87">
        <f>'Price Multiples'!B11</f>
        <v>1</v>
      </c>
      <c r="C2" s="44"/>
      <c r="E2" s="5" t="s">
        <v>126</v>
      </c>
      <c r="F2" s="87">
        <f>'Price Multiples'!B37</f>
        <v>7.0000000000000007E-2</v>
      </c>
      <c r="H2" s="88" t="s">
        <v>180</v>
      </c>
      <c r="I2" s="128">
        <v>15</v>
      </c>
      <c r="K2" s="5" t="s">
        <v>96</v>
      </c>
      <c r="L2" s="89">
        <f>'Price Multiples'!B18</f>
        <v>1.1333333333333333</v>
      </c>
      <c r="N2" s="5" t="s">
        <v>220</v>
      </c>
      <c r="O2" s="7">
        <f>'Price Multiples'!B45</f>
        <v>800000000</v>
      </c>
    </row>
    <row r="3" spans="1:15" x14ac:dyDescent="0.25">
      <c r="A3" s="5" t="s">
        <v>130</v>
      </c>
      <c r="B3" s="87">
        <f>'Price Multiples'!B41</f>
        <v>8.656050955414013E-2</v>
      </c>
      <c r="C3" s="90"/>
      <c r="E3" s="5" t="s">
        <v>163</v>
      </c>
      <c r="F3" s="87">
        <f>'Stock Beta'!B64</f>
        <v>0.2217451670199117</v>
      </c>
      <c r="H3" s="88" t="s">
        <v>181</v>
      </c>
      <c r="I3" s="128">
        <v>1</v>
      </c>
      <c r="K3" s="5" t="s">
        <v>169</v>
      </c>
      <c r="L3" s="89">
        <f>'Price Multiples'!B22</f>
        <v>13.333333333333334</v>
      </c>
      <c r="N3" s="5" t="s">
        <v>224</v>
      </c>
      <c r="O3" s="7">
        <f>'Price Multiples'!B54</f>
        <v>16063694.26751592</v>
      </c>
    </row>
    <row r="4" spans="1:15" x14ac:dyDescent="0.25">
      <c r="A4" s="5" t="s">
        <v>159</v>
      </c>
      <c r="B4" s="87">
        <f>'Price Multiples'!B13</f>
        <v>1.0000000000000004E-2</v>
      </c>
      <c r="C4" s="90"/>
      <c r="E4" s="5" t="s">
        <v>122</v>
      </c>
      <c r="F4" s="87">
        <f>'Annual Return on Market - Rm'!C13</f>
        <v>0.21379364863641898</v>
      </c>
      <c r="H4" s="88" t="s">
        <v>167</v>
      </c>
      <c r="I4" s="91">
        <f>I3*I2</f>
        <v>15</v>
      </c>
      <c r="K4" s="5" t="s">
        <v>167</v>
      </c>
      <c r="L4" s="92">
        <f>SQRT(15*1.5*(L3*L2))</f>
        <v>18.439088914585774</v>
      </c>
      <c r="N4" s="5" t="s">
        <v>225</v>
      </c>
      <c r="O4" s="7">
        <f>O3/('Price Multiples'!B38-L40)</f>
        <v>223462086.88462466</v>
      </c>
    </row>
    <row r="5" spans="1:15" x14ac:dyDescent="0.25">
      <c r="A5" s="5"/>
      <c r="B5" s="87"/>
      <c r="C5" s="44"/>
      <c r="E5" s="5" t="s">
        <v>164</v>
      </c>
      <c r="F5" s="87">
        <f>F2+(F3*(F4-F2))</f>
        <v>0.10188554663328522</v>
      </c>
      <c r="N5" s="5" t="s">
        <v>221</v>
      </c>
      <c r="O5" s="93">
        <f>O2+O4</f>
        <v>1023462086.8846247</v>
      </c>
    </row>
    <row r="6" spans="1:15" x14ac:dyDescent="0.25">
      <c r="A6" s="5" t="s">
        <v>160</v>
      </c>
      <c r="B6" s="87">
        <f>B2/(B3-B4)</f>
        <v>13.061564059900167</v>
      </c>
      <c r="C6" s="44"/>
      <c r="E6" s="5" t="s">
        <v>161</v>
      </c>
      <c r="F6" s="87">
        <f>'Price Multiples'!B2</f>
        <v>20</v>
      </c>
      <c r="N6" s="5" t="s">
        <v>222</v>
      </c>
      <c r="O6" s="7">
        <f>'Price Multiples'!B3</f>
        <v>60000000</v>
      </c>
    </row>
    <row r="7" spans="1:15" ht="18" x14ac:dyDescent="0.35">
      <c r="A7" s="5" t="s">
        <v>161</v>
      </c>
      <c r="B7" s="87">
        <f>'Price Multiples'!B2</f>
        <v>20</v>
      </c>
      <c r="C7" s="44"/>
      <c r="E7" s="5" t="s">
        <v>165</v>
      </c>
      <c r="F7" s="87">
        <f>F6*(1+F5)</f>
        <v>22.037710932665707</v>
      </c>
      <c r="N7" s="45" t="s">
        <v>223</v>
      </c>
      <c r="O7" s="5">
        <f>O5/O6</f>
        <v>17.057701448077079</v>
      </c>
    </row>
    <row r="8" spans="1:15" x14ac:dyDescent="0.25">
      <c r="A8" s="5"/>
      <c r="B8" s="5"/>
      <c r="C8" s="44"/>
    </row>
    <row r="9" spans="1:15" x14ac:dyDescent="0.25">
      <c r="A9" s="5" t="s">
        <v>162</v>
      </c>
      <c r="B9" s="31" t="str">
        <f>IF(B6&gt;B7,"Undervalued","Overvalued")</f>
        <v>Overvalued</v>
      </c>
      <c r="C9" s="44"/>
    </row>
    <row r="11" spans="1:15" x14ac:dyDescent="0.25">
      <c r="A11" s="83" t="s">
        <v>157</v>
      </c>
      <c r="B11" s="83"/>
      <c r="C11" s="36"/>
      <c r="E11" s="83" t="s">
        <v>228</v>
      </c>
      <c r="F11" s="83"/>
      <c r="H11" s="83" t="s">
        <v>231</v>
      </c>
      <c r="I11" s="83"/>
      <c r="K11" s="83" t="s">
        <v>254</v>
      </c>
      <c r="L11" s="83"/>
    </row>
    <row r="12" spans="1:15" x14ac:dyDescent="0.25">
      <c r="A12" s="5" t="s">
        <v>158</v>
      </c>
      <c r="B12" s="87">
        <f>'Price Multiples'!B11</f>
        <v>1</v>
      </c>
      <c r="C12" s="5"/>
      <c r="E12" s="5" t="s">
        <v>96</v>
      </c>
      <c r="F12" s="94">
        <f>'Price Multiples'!B18</f>
        <v>1.1333333333333333</v>
      </c>
      <c r="H12" s="5" t="s">
        <v>103</v>
      </c>
      <c r="I12" s="7">
        <f>'Income Statement'!B13*1000</f>
        <v>100000000</v>
      </c>
      <c r="K12" s="5" t="s">
        <v>103</v>
      </c>
      <c r="L12" s="7">
        <f>I12</f>
        <v>100000000</v>
      </c>
    </row>
    <row r="13" spans="1:15" x14ac:dyDescent="0.25">
      <c r="A13" s="5" t="s">
        <v>130</v>
      </c>
      <c r="B13" s="87">
        <f>'Price Multiples'!B41</f>
        <v>8.656050955414013E-2</v>
      </c>
      <c r="C13" s="95"/>
      <c r="E13" s="5" t="s">
        <v>158</v>
      </c>
      <c r="F13" s="94">
        <f>'Price Multiples'!B11</f>
        <v>1</v>
      </c>
      <c r="H13" s="5" t="s">
        <v>244</v>
      </c>
      <c r="I13" s="129">
        <v>0.3</v>
      </c>
      <c r="K13" s="5" t="s">
        <v>244</v>
      </c>
      <c r="L13" s="96">
        <f>I13</f>
        <v>0.3</v>
      </c>
    </row>
    <row r="14" spans="1:15" ht="18" x14ac:dyDescent="0.35">
      <c r="A14" s="5" t="s">
        <v>245</v>
      </c>
      <c r="B14" s="87">
        <f>'Price Multiples'!B12</f>
        <v>0.05</v>
      </c>
      <c r="C14" s="95"/>
      <c r="E14" s="5" t="s">
        <v>229</v>
      </c>
      <c r="F14" s="94">
        <f>'Ratio Analysis'!B38</f>
        <v>8.5000000000000006E-2</v>
      </c>
      <c r="H14" s="5" t="s">
        <v>104</v>
      </c>
      <c r="I14" s="7">
        <f>'Income Statement'!B8*1000</f>
        <v>5000000</v>
      </c>
      <c r="K14" s="5" t="s">
        <v>104</v>
      </c>
      <c r="L14" s="7">
        <f>I14</f>
        <v>5000000</v>
      </c>
    </row>
    <row r="15" spans="1:15" ht="18" x14ac:dyDescent="0.35">
      <c r="A15" s="5" t="s">
        <v>246</v>
      </c>
      <c r="B15" s="87">
        <f>'Price Multiples'!B13</f>
        <v>1.0000000000000004E-2</v>
      </c>
      <c r="C15" s="5"/>
      <c r="E15" s="5" t="s">
        <v>130</v>
      </c>
      <c r="F15" s="94">
        <f>'Price Multiples'!B41</f>
        <v>8.656050955414013E-2</v>
      </c>
      <c r="H15" s="97" t="s">
        <v>243</v>
      </c>
      <c r="I15" s="5"/>
      <c r="K15" s="97" t="s">
        <v>243</v>
      </c>
      <c r="L15" s="5"/>
    </row>
    <row r="16" spans="1:15" x14ac:dyDescent="0.25">
      <c r="A16" s="5" t="s">
        <v>247</v>
      </c>
      <c r="B16" s="5">
        <v>5</v>
      </c>
      <c r="C16" s="5"/>
      <c r="E16" s="5"/>
      <c r="F16" s="31"/>
      <c r="H16" s="5" t="s">
        <v>267</v>
      </c>
      <c r="I16" s="7">
        <f>('Balance Sheet'!B13-'Balance Sheet'!B33)*1000</f>
        <v>250000000</v>
      </c>
      <c r="K16" s="5" t="s">
        <v>267</v>
      </c>
      <c r="L16" s="7">
        <f>I16</f>
        <v>250000000</v>
      </c>
    </row>
    <row r="17" spans="1:13" x14ac:dyDescent="0.25">
      <c r="A17" s="98" t="s">
        <v>248</v>
      </c>
      <c r="B17" s="98" t="s">
        <v>249</v>
      </c>
      <c r="C17" s="99" t="s">
        <v>250</v>
      </c>
      <c r="E17" s="5"/>
      <c r="F17" s="31"/>
      <c r="H17" s="5" t="s">
        <v>268</v>
      </c>
      <c r="I17" s="112">
        <f>I16</f>
        <v>250000000</v>
      </c>
      <c r="K17" s="5" t="s">
        <v>268</v>
      </c>
      <c r="L17" s="7">
        <f>I17</f>
        <v>250000000</v>
      </c>
    </row>
    <row r="18" spans="1:13" x14ac:dyDescent="0.25">
      <c r="A18" s="100">
        <v>1</v>
      </c>
      <c r="B18" s="87">
        <f>$B$12*(1+$B$14)^A18</f>
        <v>1.05</v>
      </c>
      <c r="C18" s="87">
        <f>B18/(1+$B$13)^A18</f>
        <v>0.96635207221994257</v>
      </c>
      <c r="E18" s="5" t="s">
        <v>160</v>
      </c>
      <c r="F18" s="101">
        <f>(F13/F15)+(((F12-F13)*(F14/F15))/F15)</f>
        <v>13.065191170050118</v>
      </c>
      <c r="H18" s="102" t="s">
        <v>269</v>
      </c>
      <c r="I18" s="93">
        <f>I16-I17</f>
        <v>0</v>
      </c>
      <c r="K18" s="102" t="s">
        <v>269</v>
      </c>
      <c r="L18" s="93">
        <f>L16-L17</f>
        <v>0</v>
      </c>
    </row>
    <row r="19" spans="1:13" x14ac:dyDescent="0.25">
      <c r="A19" s="100">
        <v>2</v>
      </c>
      <c r="B19" s="87">
        <f>$B$12*(1+$B$14)^A19</f>
        <v>1.1025</v>
      </c>
      <c r="C19" s="87">
        <f t="shared" ref="C19:C22" si="0">B19/(1+$B$13)^A19</f>
        <v>0.93383632748377698</v>
      </c>
      <c r="E19" s="100" t="s">
        <v>161</v>
      </c>
      <c r="F19" s="103">
        <f>'Price Multiples'!B2</f>
        <v>20</v>
      </c>
      <c r="H19" s="104" t="s">
        <v>241</v>
      </c>
      <c r="I19" s="7"/>
      <c r="K19" s="104" t="s">
        <v>241</v>
      </c>
      <c r="L19" s="7"/>
    </row>
    <row r="20" spans="1:13" x14ac:dyDescent="0.25">
      <c r="A20" s="100">
        <v>3</v>
      </c>
      <c r="B20" s="87">
        <f>$B$12*(1+$B$14)^A20</f>
        <v>1.1576250000000001</v>
      </c>
      <c r="C20" s="87">
        <f t="shared" si="0"/>
        <v>0.90241467017820887</v>
      </c>
      <c r="E20" s="100" t="s">
        <v>162</v>
      </c>
      <c r="F20" s="31" t="str">
        <f>IF(F18&gt;F19,"Undervalued","Overvalued")</f>
        <v>Overvalued</v>
      </c>
      <c r="H20" s="5" t="s">
        <v>234</v>
      </c>
      <c r="I20" s="112">
        <f>('Balance Sheet'!B15+'Balance Sheet'!B16+'Balance Sheet'!B17)*1000</f>
        <v>600000000</v>
      </c>
      <c r="K20" s="5" t="s">
        <v>234</v>
      </c>
      <c r="L20" s="7">
        <f>I20</f>
        <v>600000000</v>
      </c>
    </row>
    <row r="21" spans="1:13" x14ac:dyDescent="0.25">
      <c r="A21" s="100">
        <v>4</v>
      </c>
      <c r="B21" s="87">
        <f>$B$12*(1+$B$14)^A21</f>
        <v>1.21550625</v>
      </c>
      <c r="C21" s="87">
        <f t="shared" si="0"/>
        <v>0.8720502865283879</v>
      </c>
      <c r="H21" s="5" t="s">
        <v>235</v>
      </c>
      <c r="I21" s="112">
        <f>I20</f>
        <v>600000000</v>
      </c>
      <c r="K21" s="5" t="s">
        <v>235</v>
      </c>
      <c r="L21" s="7">
        <f>I21</f>
        <v>600000000</v>
      </c>
    </row>
    <row r="22" spans="1:13" x14ac:dyDescent="0.25">
      <c r="A22" s="100">
        <v>5</v>
      </c>
      <c r="B22" s="87">
        <f>$B$12*(1+$B$14)^A22</f>
        <v>1.2762815625000001</v>
      </c>
      <c r="C22" s="87">
        <f t="shared" si="0"/>
        <v>0.84270760146670243</v>
      </c>
      <c r="H22" s="45" t="s">
        <v>242</v>
      </c>
      <c r="I22" s="7">
        <f>I20-I21+I14</f>
        <v>5000000</v>
      </c>
      <c r="K22" s="45" t="s">
        <v>242</v>
      </c>
      <c r="L22" s="7">
        <f>L20-L21+L14</f>
        <v>5000000</v>
      </c>
    </row>
    <row r="23" spans="1:13" x14ac:dyDescent="0.25">
      <c r="A23" s="102" t="s">
        <v>251</v>
      </c>
      <c r="B23" s="87"/>
      <c r="C23" s="87">
        <f>SUM(C18:C22)</f>
        <v>4.5173609578770186</v>
      </c>
      <c r="H23" s="45"/>
      <c r="I23" s="7"/>
      <c r="K23" s="45"/>
      <c r="L23" s="7"/>
    </row>
    <row r="24" spans="1:13" x14ac:dyDescent="0.25">
      <c r="A24" s="5" t="s">
        <v>260</v>
      </c>
      <c r="B24" s="87">
        <f>B22*(1+B15)</f>
        <v>1.2890443781250001</v>
      </c>
      <c r="C24" s="87"/>
      <c r="H24" s="45" t="s">
        <v>232</v>
      </c>
      <c r="I24" s="7">
        <f>(I12*(1-I13))+I14-I18-I22</f>
        <v>70000000</v>
      </c>
      <c r="K24" s="45" t="s">
        <v>232</v>
      </c>
      <c r="L24" s="7">
        <f>(L12*(1-L13))+L14-L18-L22</f>
        <v>70000000</v>
      </c>
    </row>
    <row r="25" spans="1:13" x14ac:dyDescent="0.25">
      <c r="A25" s="5" t="s">
        <v>252</v>
      </c>
      <c r="B25" s="87">
        <f>B24/(B13-B15)</f>
        <v>16.836935720933862</v>
      </c>
      <c r="C25" s="87">
        <f>B25/(1+B13)^(A22)</f>
        <v>11.117150113525375</v>
      </c>
      <c r="H25" s="104" t="s">
        <v>236</v>
      </c>
      <c r="I25" s="7"/>
      <c r="K25" s="104" t="s">
        <v>236</v>
      </c>
      <c r="L25" s="7"/>
    </row>
    <row r="26" spans="1:13" x14ac:dyDescent="0.25">
      <c r="A26" s="5" t="s">
        <v>253</v>
      </c>
      <c r="B26" s="87"/>
      <c r="C26" s="87">
        <f>C25+C23</f>
        <v>15.634511071402393</v>
      </c>
      <c r="H26" s="5" t="s">
        <v>237</v>
      </c>
      <c r="I26" s="7">
        <f>'Balance Sheet'!B39*1000</f>
        <v>770000000</v>
      </c>
      <c r="K26" s="5" t="s">
        <v>237</v>
      </c>
      <c r="L26" s="7">
        <f>I26</f>
        <v>770000000</v>
      </c>
    </row>
    <row r="27" spans="1:13" x14ac:dyDescent="0.25">
      <c r="A27" s="100" t="s">
        <v>161</v>
      </c>
      <c r="B27" s="87"/>
      <c r="C27" s="87">
        <f>'Price Multiples'!B2</f>
        <v>20</v>
      </c>
      <c r="H27" s="5" t="s">
        <v>238</v>
      </c>
      <c r="I27" s="112">
        <f>I26</f>
        <v>770000000</v>
      </c>
      <c r="K27" s="5" t="s">
        <v>238</v>
      </c>
      <c r="L27" s="7">
        <f>I27</f>
        <v>770000000</v>
      </c>
    </row>
    <row r="28" spans="1:13" x14ac:dyDescent="0.25">
      <c r="A28" s="5" t="s">
        <v>162</v>
      </c>
      <c r="B28" s="5"/>
      <c r="C28" s="31" t="str">
        <f>IF(C26&gt;C27,"Undervalued","Overvalued")</f>
        <v>Overvalued</v>
      </c>
      <c r="H28" s="45" t="s">
        <v>236</v>
      </c>
      <c r="I28" s="7">
        <f>I26-I27</f>
        <v>0</v>
      </c>
      <c r="K28" s="45" t="s">
        <v>236</v>
      </c>
      <c r="L28" s="7">
        <f>L26-L27</f>
        <v>0</v>
      </c>
    </row>
    <row r="29" spans="1:13" x14ac:dyDescent="0.25">
      <c r="H29" s="45" t="s">
        <v>233</v>
      </c>
      <c r="I29" s="7">
        <f>I24-(('Income Statement'!B14*1000)*('Target Price'!I13))+I28</f>
        <v>64000000</v>
      </c>
      <c r="K29" s="45" t="s">
        <v>233</v>
      </c>
      <c r="L29" s="7">
        <f>L24-(('Income Statement'!B14*1000)*('Target Price'!I13))+L28</f>
        <v>64000000</v>
      </c>
    </row>
    <row r="30" spans="1:13" x14ac:dyDescent="0.25">
      <c r="H30" s="5" t="s">
        <v>90</v>
      </c>
      <c r="I30" s="7">
        <f>'Price Multiples'!B3</f>
        <v>60000000</v>
      </c>
      <c r="K30" s="85" t="s">
        <v>255</v>
      </c>
      <c r="L30" s="86"/>
    </row>
    <row r="31" spans="1:13" ht="18" x14ac:dyDescent="0.35">
      <c r="H31" s="5"/>
      <c r="I31" s="7"/>
      <c r="K31" s="5" t="s">
        <v>245</v>
      </c>
      <c r="L31" s="122">
        <v>0.05</v>
      </c>
    </row>
    <row r="32" spans="1:13" x14ac:dyDescent="0.25">
      <c r="H32" s="45" t="s">
        <v>239</v>
      </c>
      <c r="I32" s="7">
        <f>I29/('Price Multiples'!B38-'Price Multiples'!B13)</f>
        <v>696518683.78629446</v>
      </c>
      <c r="K32" s="105" t="s">
        <v>256</v>
      </c>
      <c r="L32" s="36" t="s">
        <v>233</v>
      </c>
      <c r="M32" s="42" t="s">
        <v>154</v>
      </c>
    </row>
    <row r="33" spans="8:13" x14ac:dyDescent="0.25">
      <c r="H33" s="5"/>
      <c r="I33" s="5"/>
      <c r="K33" s="31">
        <v>1</v>
      </c>
      <c r="L33" s="103">
        <f>$L$29*(1+$L$31)^K33</f>
        <v>67200000</v>
      </c>
      <c r="M33" s="7">
        <f>L33/(1+'Price Multiples'!$B$38)^K33</f>
        <v>60986370.322510995</v>
      </c>
    </row>
    <row r="34" spans="8:13" x14ac:dyDescent="0.25">
      <c r="H34" s="45" t="s">
        <v>240</v>
      </c>
      <c r="I34" s="5">
        <f>I32/I30</f>
        <v>11.608644729771575</v>
      </c>
      <c r="K34" s="31">
        <v>2</v>
      </c>
      <c r="L34" s="103">
        <f>$L$29*(1+$L$31)^K34</f>
        <v>70560000</v>
      </c>
      <c r="M34" s="7">
        <f>L34/(1+'Price Multiples'!$B$38)^K34</f>
        <v>58114646.329913288</v>
      </c>
    </row>
    <row r="35" spans="8:13" x14ac:dyDescent="0.25">
      <c r="K35" s="31">
        <v>3</v>
      </c>
      <c r="L35" s="103">
        <f>$L$29*(1+$L$31)^K35</f>
        <v>74088000.000000015</v>
      </c>
      <c r="M35" s="7">
        <f>L35/(1+'Price Multiples'!$B$38)^K35</f>
        <v>55378145.972466365</v>
      </c>
    </row>
    <row r="36" spans="8:13" x14ac:dyDescent="0.25">
      <c r="K36" s="31">
        <v>4</v>
      </c>
      <c r="L36" s="103">
        <f>$L$29*(1+$L$31)^K36</f>
        <v>77792400</v>
      </c>
      <c r="M36" s="7">
        <f>L36/(1+'Price Multiples'!$B$38)^K36</f>
        <v>52770501.844545379</v>
      </c>
    </row>
    <row r="37" spans="8:13" x14ac:dyDescent="0.25">
      <c r="K37" s="31">
        <v>5</v>
      </c>
      <c r="L37" s="103">
        <f>$L$29*(1+$L$31)^K37</f>
        <v>81682020.000000015</v>
      </c>
      <c r="M37" s="7">
        <f>L37/(1+'Price Multiples'!$B$38)^K37</f>
        <v>50285646.368690543</v>
      </c>
    </row>
    <row r="38" spans="8:13" x14ac:dyDescent="0.25">
      <c r="K38" s="5" t="s">
        <v>258</v>
      </c>
      <c r="L38" s="5"/>
      <c r="M38" s="93">
        <f>SUM(M33:M37)</f>
        <v>277535310.83812654</v>
      </c>
    </row>
    <row r="39" spans="8:13" x14ac:dyDescent="0.25">
      <c r="K39" s="85" t="s">
        <v>257</v>
      </c>
      <c r="L39" s="106"/>
    </row>
    <row r="40" spans="8:13" ht="18" x14ac:dyDescent="0.35">
      <c r="K40" s="5" t="s">
        <v>246</v>
      </c>
      <c r="L40" s="122">
        <v>0.03</v>
      </c>
    </row>
    <row r="41" spans="8:13" x14ac:dyDescent="0.25">
      <c r="K41" s="5" t="s">
        <v>259</v>
      </c>
      <c r="L41" s="7">
        <f>L37*(1+L40)</f>
        <v>84132480.600000024</v>
      </c>
    </row>
    <row r="42" spans="8:13" x14ac:dyDescent="0.25">
      <c r="K42" s="5" t="s">
        <v>261</v>
      </c>
      <c r="L42" s="103">
        <f>L41/('Price Multiples'!B38-L40)</f>
        <v>1170367125.8033404</v>
      </c>
      <c r="M42" s="7">
        <f>L42/(1+$B$13)^K37</f>
        <v>772774051.11868584</v>
      </c>
    </row>
    <row r="43" spans="8:13" x14ac:dyDescent="0.25">
      <c r="K43" s="5" t="s">
        <v>262</v>
      </c>
      <c r="L43" s="5"/>
      <c r="M43" s="93">
        <f>M42+M38</f>
        <v>1050309361.9568124</v>
      </c>
    </row>
    <row r="44" spans="8:13" x14ac:dyDescent="0.25">
      <c r="K44" s="5"/>
      <c r="L44" s="107"/>
    </row>
    <row r="45" spans="8:13" x14ac:dyDescent="0.25">
      <c r="K45" s="5" t="s">
        <v>90</v>
      </c>
      <c r="L45" s="7">
        <f>'Price Multiples'!B3</f>
        <v>60000000</v>
      </c>
    </row>
    <row r="46" spans="8:13" x14ac:dyDescent="0.25">
      <c r="K46" s="5"/>
      <c r="L46" s="7"/>
    </row>
    <row r="47" spans="8:13" x14ac:dyDescent="0.25">
      <c r="K47" s="45" t="s">
        <v>240</v>
      </c>
      <c r="L47" s="103">
        <f>M43/L45</f>
        <v>17.505156032613538</v>
      </c>
    </row>
  </sheetData>
  <sheetProtection password="CC8E" sheet="1" objects="1" scenarios="1" selectLockedCells="1"/>
  <mergeCells count="10">
    <mergeCell ref="N1:O1"/>
    <mergeCell ref="E11:F11"/>
    <mergeCell ref="H11:I11"/>
    <mergeCell ref="A11:B11"/>
    <mergeCell ref="K11:L11"/>
    <mergeCell ref="K30:L30"/>
    <mergeCell ref="K39:L39"/>
    <mergeCell ref="A1:B1"/>
    <mergeCell ref="H1:I1"/>
    <mergeCell ref="K1:L1"/>
  </mergeCells>
  <dataValidations count="1">
    <dataValidation type="decimal" errorStyle="warning" allowBlank="1" showInputMessage="1" showErrorMessage="1" errorTitle="Warning: Wrong Format" error="Did you enter correct value? Enter value in numbers." sqref="I2:I3 I13 I17 I20 I21 I27 L31 L40">
      <formula1>0</formula1>
      <formula2>1000000000000</formula2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B3" sqref="B3"/>
    </sheetView>
  </sheetViews>
  <sheetFormatPr defaultRowHeight="15" x14ac:dyDescent="0.25"/>
  <cols>
    <col min="1" max="1" width="34.7109375" style="4" bestFit="1" customWidth="1"/>
    <col min="2" max="2" width="16" style="34" bestFit="1" customWidth="1"/>
    <col min="3" max="3" width="11.28515625" style="4" bestFit="1" customWidth="1"/>
    <col min="4" max="16384" width="9.140625" style="4"/>
  </cols>
  <sheetData>
    <row r="1" spans="1:2" x14ac:dyDescent="0.25">
      <c r="A1" s="10" t="s">
        <v>212</v>
      </c>
      <c r="B1" s="42" t="s">
        <v>214</v>
      </c>
    </row>
    <row r="2" spans="1:2" x14ac:dyDescent="0.25">
      <c r="A2" s="4" t="s">
        <v>208</v>
      </c>
      <c r="B2" s="108">
        <f>'Income Statement'!B2</f>
        <v>200000</v>
      </c>
    </row>
    <row r="3" spans="1:2" x14ac:dyDescent="0.25">
      <c r="A3" s="4" t="s">
        <v>276</v>
      </c>
      <c r="B3" s="135">
        <v>10</v>
      </c>
    </row>
    <row r="4" spans="1:2" x14ac:dyDescent="0.25">
      <c r="A4" s="4" t="s">
        <v>211</v>
      </c>
      <c r="B4" s="108">
        <f>B2*(1+(B3/100))</f>
        <v>220000.00000000003</v>
      </c>
    </row>
    <row r="5" spans="1:2" x14ac:dyDescent="0.25">
      <c r="A5" s="4" t="s">
        <v>215</v>
      </c>
      <c r="B5" s="108">
        <f>B4-B2</f>
        <v>20000.000000000029</v>
      </c>
    </row>
    <row r="6" spans="1:2" x14ac:dyDescent="0.25">
      <c r="B6" s="108"/>
    </row>
    <row r="7" spans="1:2" x14ac:dyDescent="0.25">
      <c r="A7" s="4" t="s">
        <v>209</v>
      </c>
      <c r="B7" s="108">
        <f>'Balance Sheet'!B4+'Balance Sheet'!B5+'Balance Sheet'!B6+'Balance Sheet'!B11</f>
        <v>300000</v>
      </c>
    </row>
    <row r="8" spans="1:2" x14ac:dyDescent="0.25">
      <c r="A8" s="4" t="s">
        <v>210</v>
      </c>
      <c r="B8" s="108">
        <f>'Balance Sheet'!B27+'Balance Sheet'!B28+'Balance Sheet'!B29</f>
        <v>250000</v>
      </c>
    </row>
    <row r="10" spans="1:2" x14ac:dyDescent="0.25">
      <c r="A10" s="4" t="s">
        <v>278</v>
      </c>
      <c r="B10" s="136">
        <f>('Ratio Analysis'!B36)*100</f>
        <v>34</v>
      </c>
    </row>
    <row r="11" spans="1:2" x14ac:dyDescent="0.25">
      <c r="A11" s="4" t="s">
        <v>277</v>
      </c>
      <c r="B11" s="136">
        <f>(1-'Price Multiples'!B20)*100</f>
        <v>11.764705882352944</v>
      </c>
    </row>
    <row r="13" spans="1:2" x14ac:dyDescent="0.25">
      <c r="A13" s="4" t="s">
        <v>216</v>
      </c>
      <c r="B13" s="108">
        <f>(B7/B2)*B5</f>
        <v>30000.000000000044</v>
      </c>
    </row>
    <row r="14" spans="1:2" x14ac:dyDescent="0.25">
      <c r="A14" s="4" t="s">
        <v>218</v>
      </c>
      <c r="B14" s="110">
        <f>(B8/B2)*B5</f>
        <v>25000.000000000036</v>
      </c>
    </row>
    <row r="15" spans="1:2" x14ac:dyDescent="0.25">
      <c r="A15" s="4" t="s">
        <v>217</v>
      </c>
      <c r="B15" s="110">
        <f>B4*(B10/100)*(B11/100)</f>
        <v>8800.0000000000036</v>
      </c>
    </row>
    <row r="17" spans="1:3" x14ac:dyDescent="0.25">
      <c r="A17" s="4" t="s">
        <v>213</v>
      </c>
      <c r="B17" s="111">
        <f>((B7/B2)*B5)-((B8/B2)*B5)-(B4*(B10/100)*(B11/100))</f>
        <v>-3799.9999999999964</v>
      </c>
      <c r="C17" s="71"/>
    </row>
  </sheetData>
  <sheetProtection password="CC8E" sheet="1" objects="1" scenarios="1" selectLockedCells="1"/>
  <dataValidations count="1">
    <dataValidation type="whole" errorStyle="warning" allowBlank="1" showInputMessage="1" showErrorMessage="1" errorTitle="Warning: Wrong Format" error="Enter correct percentage." sqref="B3">
      <formula1>0</formula1>
      <formula2>200</formula2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topLeftCell="A49" workbookViewId="0">
      <selection activeCell="B2" sqref="B2:B61"/>
    </sheetView>
  </sheetViews>
  <sheetFormatPr defaultRowHeight="15" x14ac:dyDescent="0.25"/>
  <cols>
    <col min="1" max="1" width="10.140625" bestFit="1" customWidth="1"/>
  </cols>
  <sheetData>
    <row r="1" spans="1:2" x14ac:dyDescent="0.25">
      <c r="A1" t="s">
        <v>117</v>
      </c>
      <c r="B1" t="s">
        <v>266</v>
      </c>
    </row>
    <row r="2" spans="1:2" x14ac:dyDescent="0.25">
      <c r="A2" s="1">
        <v>42216</v>
      </c>
      <c r="B2">
        <v>152.22999999999999</v>
      </c>
    </row>
    <row r="3" spans="1:2" x14ac:dyDescent="0.25">
      <c r="A3" s="1">
        <v>42247</v>
      </c>
      <c r="B3">
        <v>144.97999999999999</v>
      </c>
    </row>
    <row r="4" spans="1:2" x14ac:dyDescent="0.25">
      <c r="A4" s="1">
        <v>42277</v>
      </c>
      <c r="B4">
        <v>137.02000000000001</v>
      </c>
    </row>
    <row r="5" spans="1:2" x14ac:dyDescent="0.25">
      <c r="A5" s="1">
        <v>42307</v>
      </c>
      <c r="B5">
        <v>140.72999999999999</v>
      </c>
    </row>
    <row r="6" spans="1:2" x14ac:dyDescent="0.25">
      <c r="A6" s="1">
        <v>42338</v>
      </c>
      <c r="B6">
        <v>127.8</v>
      </c>
    </row>
    <row r="7" spans="1:2" x14ac:dyDescent="0.25">
      <c r="A7" s="1">
        <v>42369</v>
      </c>
      <c r="B7">
        <v>147.59</v>
      </c>
    </row>
    <row r="8" spans="1:2" x14ac:dyDescent="0.25">
      <c r="A8" s="1">
        <v>42398</v>
      </c>
      <c r="B8">
        <v>158.57</v>
      </c>
    </row>
    <row r="9" spans="1:2" x14ac:dyDescent="0.25">
      <c r="A9" s="1">
        <v>42429</v>
      </c>
      <c r="B9">
        <v>156.38999999999999</v>
      </c>
    </row>
    <row r="10" spans="1:2" x14ac:dyDescent="0.25">
      <c r="A10" s="1">
        <v>42460</v>
      </c>
      <c r="B10">
        <v>173.82</v>
      </c>
    </row>
    <row r="11" spans="1:2" x14ac:dyDescent="0.25">
      <c r="A11" s="1">
        <v>42489</v>
      </c>
      <c r="B11">
        <v>174.65</v>
      </c>
    </row>
    <row r="12" spans="1:2" x14ac:dyDescent="0.25">
      <c r="A12" s="1">
        <v>42521</v>
      </c>
      <c r="B12">
        <v>178.38</v>
      </c>
    </row>
    <row r="13" spans="1:2" x14ac:dyDescent="0.25">
      <c r="A13" s="1">
        <v>42551</v>
      </c>
      <c r="B13">
        <v>190.49</v>
      </c>
    </row>
    <row r="14" spans="1:2" x14ac:dyDescent="0.25">
      <c r="A14" s="1">
        <v>42581</v>
      </c>
      <c r="B14">
        <v>210.03</v>
      </c>
    </row>
    <row r="15" spans="1:2" x14ac:dyDescent="0.25">
      <c r="A15" s="1">
        <v>42613</v>
      </c>
      <c r="B15">
        <v>197.5</v>
      </c>
    </row>
    <row r="16" spans="1:2" x14ac:dyDescent="0.25">
      <c r="A16" s="1">
        <v>42643</v>
      </c>
      <c r="B16">
        <v>185.88</v>
      </c>
    </row>
    <row r="17" spans="1:2" x14ac:dyDescent="0.25">
      <c r="A17" s="1">
        <v>42674</v>
      </c>
      <c r="B17">
        <v>171.66</v>
      </c>
    </row>
    <row r="18" spans="1:2" x14ac:dyDescent="0.25">
      <c r="A18" s="1">
        <v>42704</v>
      </c>
      <c r="B18">
        <v>190.86</v>
      </c>
    </row>
    <row r="19" spans="1:2" x14ac:dyDescent="0.25">
      <c r="A19" s="1">
        <v>42734</v>
      </c>
      <c r="B19">
        <v>221.73</v>
      </c>
    </row>
    <row r="20" spans="1:2" x14ac:dyDescent="0.25">
      <c r="A20" s="1">
        <v>42766</v>
      </c>
      <c r="B20">
        <v>230.04</v>
      </c>
    </row>
    <row r="21" spans="1:2" x14ac:dyDescent="0.25">
      <c r="A21" s="1">
        <v>42794</v>
      </c>
      <c r="B21">
        <v>235.42</v>
      </c>
    </row>
    <row r="22" spans="1:2" x14ac:dyDescent="0.25">
      <c r="A22" s="1">
        <v>42825</v>
      </c>
      <c r="B22">
        <v>232.4</v>
      </c>
    </row>
    <row r="23" spans="1:2" x14ac:dyDescent="0.25">
      <c r="A23" s="1">
        <v>42853</v>
      </c>
      <c r="B23">
        <v>239</v>
      </c>
    </row>
    <row r="24" spans="1:2" x14ac:dyDescent="0.25">
      <c r="A24" s="1">
        <v>42886</v>
      </c>
      <c r="B24">
        <v>238.32</v>
      </c>
    </row>
    <row r="25" spans="1:2" x14ac:dyDescent="0.25">
      <c r="A25" s="1">
        <v>42916</v>
      </c>
      <c r="B25">
        <v>213.16</v>
      </c>
    </row>
    <row r="26" spans="1:2" x14ac:dyDescent="0.25">
      <c r="A26" s="1">
        <v>42947</v>
      </c>
      <c r="B26">
        <v>193.7</v>
      </c>
    </row>
    <row r="27" spans="1:2" x14ac:dyDescent="0.25">
      <c r="A27" s="1">
        <v>42978</v>
      </c>
      <c r="B27">
        <v>155.47999999999999</v>
      </c>
    </row>
    <row r="28" spans="1:2" x14ac:dyDescent="0.25">
      <c r="A28" s="1">
        <v>43007</v>
      </c>
      <c r="B28">
        <v>146.86000000000001</v>
      </c>
    </row>
    <row r="29" spans="1:2" x14ac:dyDescent="0.25">
      <c r="A29" s="1">
        <v>43039</v>
      </c>
      <c r="B29">
        <v>136.36000000000001</v>
      </c>
    </row>
    <row r="30" spans="1:2" x14ac:dyDescent="0.25">
      <c r="A30" s="1">
        <v>43069</v>
      </c>
      <c r="B30">
        <v>134.38</v>
      </c>
    </row>
    <row r="31" spans="1:2" x14ac:dyDescent="0.25">
      <c r="A31" s="1">
        <v>43098</v>
      </c>
      <c r="B31">
        <v>133.72</v>
      </c>
    </row>
    <row r="32" spans="1:2" x14ac:dyDescent="0.25">
      <c r="A32" s="1">
        <v>43131</v>
      </c>
      <c r="B32">
        <v>159.74</v>
      </c>
    </row>
    <row r="33" spans="1:2" x14ac:dyDescent="0.25">
      <c r="A33" s="1">
        <v>43159</v>
      </c>
      <c r="B33">
        <v>143.71</v>
      </c>
    </row>
    <row r="34" spans="1:2" x14ac:dyDescent="0.25">
      <c r="A34" s="1">
        <v>43189</v>
      </c>
      <c r="B34">
        <v>163.11000000000001</v>
      </c>
    </row>
    <row r="35" spans="1:2" x14ac:dyDescent="0.25">
      <c r="A35" s="1">
        <v>43220</v>
      </c>
      <c r="B35">
        <v>145.22999999999999</v>
      </c>
    </row>
    <row r="36" spans="1:2" x14ac:dyDescent="0.25">
      <c r="A36" s="1">
        <v>43251</v>
      </c>
      <c r="B36">
        <v>126.46</v>
      </c>
    </row>
    <row r="37" spans="1:2" x14ac:dyDescent="0.25">
      <c r="A37" s="1">
        <v>43280</v>
      </c>
      <c r="B37">
        <v>114.49</v>
      </c>
    </row>
    <row r="38" spans="1:2" x14ac:dyDescent="0.25">
      <c r="A38" s="1">
        <v>43312</v>
      </c>
      <c r="B38">
        <v>115.09</v>
      </c>
    </row>
    <row r="39" spans="1:2" x14ac:dyDescent="0.25">
      <c r="A39" s="1">
        <v>43343</v>
      </c>
      <c r="B39">
        <v>112.76</v>
      </c>
    </row>
    <row r="40" spans="1:2" x14ac:dyDescent="0.25">
      <c r="A40" s="1">
        <v>43371</v>
      </c>
      <c r="B40">
        <v>102.41</v>
      </c>
    </row>
    <row r="41" spans="1:2" x14ac:dyDescent="0.25">
      <c r="A41" s="1">
        <v>43404</v>
      </c>
      <c r="B41">
        <v>105.57</v>
      </c>
    </row>
    <row r="42" spans="1:2" x14ac:dyDescent="0.25">
      <c r="A42" s="1">
        <v>43434</v>
      </c>
      <c r="B42">
        <v>97.19</v>
      </c>
    </row>
    <row r="43" spans="1:2" x14ac:dyDescent="0.25">
      <c r="A43" s="1">
        <v>43465</v>
      </c>
      <c r="B43">
        <v>80.150000000000006</v>
      </c>
    </row>
    <row r="44" spans="1:2" x14ac:dyDescent="0.25">
      <c r="A44" s="1">
        <v>43496</v>
      </c>
      <c r="B44">
        <v>85.7</v>
      </c>
    </row>
    <row r="45" spans="1:2" x14ac:dyDescent="0.25">
      <c r="A45" s="1">
        <v>43524</v>
      </c>
      <c r="B45">
        <v>92.27</v>
      </c>
    </row>
    <row r="46" spans="1:2" x14ac:dyDescent="0.25">
      <c r="A46" s="1">
        <v>43553</v>
      </c>
      <c r="B46">
        <v>85.41</v>
      </c>
    </row>
    <row r="47" spans="1:2" x14ac:dyDescent="0.25">
      <c r="A47" s="1">
        <v>43585</v>
      </c>
      <c r="B47">
        <v>73.27</v>
      </c>
    </row>
    <row r="48" spans="1:2" x14ac:dyDescent="0.25">
      <c r="A48" s="1">
        <v>43615</v>
      </c>
      <c r="B48">
        <v>60.24</v>
      </c>
    </row>
    <row r="49" spans="1:2" x14ac:dyDescent="0.25">
      <c r="A49" s="1">
        <v>43644</v>
      </c>
      <c r="B49">
        <v>56.54</v>
      </c>
    </row>
    <row r="50" spans="1:2" x14ac:dyDescent="0.25">
      <c r="A50" s="1">
        <v>43677</v>
      </c>
      <c r="B50">
        <v>44.3</v>
      </c>
    </row>
    <row r="51" spans="1:2" x14ac:dyDescent="0.25">
      <c r="A51" s="1">
        <v>43707</v>
      </c>
      <c r="B51">
        <v>48.53</v>
      </c>
    </row>
    <row r="52" spans="1:2" x14ac:dyDescent="0.25">
      <c r="A52" s="1">
        <v>43738</v>
      </c>
      <c r="B52">
        <v>48.34</v>
      </c>
    </row>
    <row r="53" spans="1:2" x14ac:dyDescent="0.25">
      <c r="A53" s="1">
        <v>43769</v>
      </c>
      <c r="B53">
        <v>59.53</v>
      </c>
    </row>
    <row r="54" spans="1:2" x14ac:dyDescent="0.25">
      <c r="A54" s="1">
        <v>43798</v>
      </c>
      <c r="B54">
        <v>73.040000000000006</v>
      </c>
    </row>
    <row r="55" spans="1:2" x14ac:dyDescent="0.25">
      <c r="A55" s="1">
        <v>43830</v>
      </c>
      <c r="B55">
        <v>74.27</v>
      </c>
    </row>
    <row r="56" spans="1:2" x14ac:dyDescent="0.25">
      <c r="A56" s="1">
        <v>43861</v>
      </c>
      <c r="B56">
        <v>74.66</v>
      </c>
    </row>
    <row r="57" spans="1:2" x14ac:dyDescent="0.25">
      <c r="A57" s="1">
        <v>43889</v>
      </c>
      <c r="B57">
        <v>69.2</v>
      </c>
    </row>
    <row r="58" spans="1:2" x14ac:dyDescent="0.25">
      <c r="A58" s="1">
        <v>43921</v>
      </c>
      <c r="B58">
        <v>59.25</v>
      </c>
    </row>
    <row r="59" spans="1:2" x14ac:dyDescent="0.25">
      <c r="A59" s="1">
        <v>43951</v>
      </c>
      <c r="B59">
        <v>86.65</v>
      </c>
    </row>
    <row r="60" spans="1:2" x14ac:dyDescent="0.25">
      <c r="A60" s="1">
        <v>43980</v>
      </c>
      <c r="B60">
        <v>82.57</v>
      </c>
    </row>
    <row r="61" spans="1:2" x14ac:dyDescent="0.25">
      <c r="A61" s="1">
        <v>44012</v>
      </c>
      <c r="B61">
        <v>85.33</v>
      </c>
    </row>
  </sheetData>
  <sortState ref="A2:B61">
    <sortCondition ref="A2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Balance Sheet</vt:lpstr>
      <vt:lpstr>Income Statement</vt:lpstr>
      <vt:lpstr>Ratio Analysis</vt:lpstr>
      <vt:lpstr>Price Multiples</vt:lpstr>
      <vt:lpstr>Common Size Analysis - BS</vt:lpstr>
      <vt:lpstr>Index Analysis - BS</vt:lpstr>
      <vt:lpstr>Common Size Analysis - IS</vt:lpstr>
      <vt:lpstr>Index Analysis - IS</vt:lpstr>
      <vt:lpstr>Stock Beta</vt:lpstr>
      <vt:lpstr>Annual Return on Market - Rm</vt:lpstr>
      <vt:lpstr>Expansion Project Valuation</vt:lpstr>
      <vt:lpstr>Amortization Schedule</vt:lpstr>
      <vt:lpstr>Target Price</vt:lpstr>
      <vt:lpstr>AFN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Salman Ahmed Shaikh</dc:creator>
  <cp:lastModifiedBy>Anzah Computers</cp:lastModifiedBy>
  <dcterms:created xsi:type="dcterms:W3CDTF">2019-11-19T03:54:22Z</dcterms:created>
  <dcterms:modified xsi:type="dcterms:W3CDTF">2022-04-02T23:44:48Z</dcterms:modified>
</cp:coreProperties>
</file>